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"/>
    </mc:Choice>
  </mc:AlternateContent>
  <bookViews>
    <workbookView xWindow="-15" yWindow="-15" windowWidth="19170" windowHeight="6045" tabRatio="810" activeTab="16"/>
  </bookViews>
  <sheets>
    <sheet name="P160x" sheetId="12" r:id="rId1"/>
    <sheet name="P161x" sheetId="22" r:id="rId2"/>
    <sheet name="Р461х" sheetId="124" r:id="rId3"/>
    <sheet name="P162x" sheetId="28" r:id="rId4"/>
    <sheet name="P170x" sheetId="18" r:id="rId5"/>
    <sheet name="P171x" sheetId="47" r:id="rId6"/>
    <sheet name="P172x" sheetId="52" r:id="rId7"/>
    <sheet name="P175х" sheetId="131" r:id="rId8"/>
    <sheet name="P10xx" sheetId="65" r:id="rId9"/>
    <sheet name="P260x" sheetId="71" r:id="rId10"/>
    <sheet name="P261x" sheetId="72" r:id="rId11"/>
    <sheet name="P262x" sheetId="73" r:id="rId12"/>
    <sheet name="P3600" sheetId="91" r:id="rId13"/>
    <sheet name="P3700" sheetId="92" r:id="rId14"/>
    <sheet name="P18xx" sheetId="100" r:id="rId15"/>
    <sheet name="P19xx" sheetId="117" r:id="rId16"/>
    <sheet name="P390x" sheetId="123" r:id="rId17"/>
    <sheet name="P870x" sheetId="125" r:id="rId18"/>
    <sheet name="P871x" sheetId="126" r:id="rId19"/>
    <sheet name="Р872х" sheetId="127" r:id="rId20"/>
    <sheet name="P880x" sheetId="128" r:id="rId21"/>
    <sheet name="P881x" sheetId="129" r:id="rId22"/>
  </sheets>
  <definedNames>
    <definedName name="_xlnm.Print_Area" localSheetId="8">P10xx!$A$1:$D$42</definedName>
    <definedName name="_xlnm.Print_Area" localSheetId="0">P160x!$A$1:$D$64</definedName>
    <definedName name="_xlnm.Print_Area" localSheetId="1">P161x!$A$1:$D$63</definedName>
    <definedName name="_xlnm.Print_Area" localSheetId="3">P162x!$A$1:$D$67</definedName>
    <definedName name="_xlnm.Print_Area" localSheetId="4">P170x!$A$1:$D$65</definedName>
    <definedName name="_xlnm.Print_Area" localSheetId="5">P171x!$A$1:$D$66</definedName>
    <definedName name="_xlnm.Print_Area" localSheetId="6">P172x!$A$1:$D$68</definedName>
    <definedName name="_xlnm.Print_Area" localSheetId="7">P175х!$A$1:$D$70</definedName>
    <definedName name="_xlnm.Print_Area" localSheetId="14">P18xx!$A$1:$D$71</definedName>
    <definedName name="_xlnm.Print_Area" localSheetId="15">P19xx!$A$1:$D$64</definedName>
    <definedName name="_xlnm.Print_Area" localSheetId="9">P260x!$A$1:$D$66</definedName>
    <definedName name="_xlnm.Print_Area" localSheetId="10">P261x!$A$1:$D$66</definedName>
    <definedName name="_xlnm.Print_Area" localSheetId="11">P262x!$A$1:$D$68</definedName>
    <definedName name="_xlnm.Print_Area" localSheetId="12">'P3600'!$A$1:$D$45</definedName>
    <definedName name="_xlnm.Print_Area" localSheetId="13">'P3700'!$A$1:$D$36</definedName>
    <definedName name="_xlnm.Print_Area" localSheetId="16">P390x!$A$1:$D$38</definedName>
  </definedNames>
  <calcPr calcId="162913"/>
</workbook>
</file>

<file path=xl/calcChain.xml><?xml version="1.0" encoding="utf-8"?>
<calcChain xmlns="http://schemas.openxmlformats.org/spreadsheetml/2006/main">
  <c r="D32" i="123" l="1"/>
  <c r="B32" i="123"/>
  <c r="D42" i="117"/>
  <c r="B42" i="117"/>
  <c r="D43" i="100"/>
  <c r="B43" i="100"/>
  <c r="D30" i="92" l="1"/>
  <c r="B30" i="92"/>
  <c r="D30" i="91"/>
  <c r="B30" i="91"/>
  <c r="B41" i="47"/>
  <c r="D41" i="47" s="1"/>
  <c r="B38" i="71"/>
  <c r="B38" i="72"/>
  <c r="D38" i="71"/>
  <c r="B35" i="22"/>
  <c r="D35" i="22" s="1"/>
  <c r="D39" i="18"/>
  <c r="B39" i="18"/>
  <c r="D37" i="12"/>
  <c r="B37" i="12"/>
  <c r="B29" i="131" l="1"/>
  <c r="B16" i="131" l="1"/>
  <c r="H80" i="131" l="1"/>
  <c r="H81" i="131" s="1"/>
  <c r="B46" i="131" s="1"/>
  <c r="D46" i="131" s="1"/>
  <c r="D69" i="131"/>
  <c r="D66" i="131"/>
  <c r="B62" i="131"/>
  <c r="D62" i="131" s="1"/>
  <c r="B59" i="131"/>
  <c r="D59" i="131" s="1"/>
  <c r="B57" i="131"/>
  <c r="B58" i="131" s="1"/>
  <c r="D58" i="131" s="1"/>
  <c r="B55" i="131"/>
  <c r="D55" i="131" s="1"/>
  <c r="B54" i="131"/>
  <c r="D54" i="131" s="1"/>
  <c r="B53" i="131"/>
  <c r="D53" i="131" s="1"/>
  <c r="B51" i="131"/>
  <c r="D51" i="131" s="1"/>
  <c r="B50" i="131"/>
  <c r="D50" i="131" s="1"/>
  <c r="B49" i="131"/>
  <c r="B48" i="131"/>
  <c r="D48" i="131" s="1"/>
  <c r="B47" i="131"/>
  <c r="D47" i="131" s="1"/>
  <c r="B39" i="131"/>
  <c r="D39" i="131" s="1"/>
  <c r="B37" i="131"/>
  <c r="D37" i="131" s="1"/>
  <c r="B36" i="131"/>
  <c r="D36" i="131" s="1"/>
  <c r="D34" i="131"/>
  <c r="D29" i="131"/>
  <c r="D28" i="131"/>
  <c r="B18" i="131"/>
  <c r="B27" i="131" s="1"/>
  <c r="D27" i="131" s="1"/>
  <c r="B17" i="131"/>
  <c r="B23" i="131" l="1"/>
  <c r="D23" i="131" s="1"/>
  <c r="B33" i="131"/>
  <c r="D33" i="131" s="1"/>
  <c r="B30" i="131"/>
  <c r="D30" i="131" s="1"/>
  <c r="B42" i="131"/>
  <c r="D42" i="131" s="1"/>
  <c r="B24" i="131"/>
  <c r="D24" i="131" s="1"/>
  <c r="B26" i="131"/>
  <c r="D26" i="131" s="1"/>
  <c r="B25" i="131"/>
  <c r="D25" i="131" s="1"/>
  <c r="D43" i="131"/>
  <c r="B35" i="131"/>
  <c r="D35" i="131" s="1"/>
  <c r="B60" i="131"/>
  <c r="D60" i="131" s="1"/>
  <c r="D57" i="131"/>
  <c r="D21" i="131"/>
  <c r="B61" i="131"/>
  <c r="D61" i="131" s="1"/>
  <c r="F80" i="131"/>
  <c r="G80" i="131" s="1"/>
  <c r="B22" i="131"/>
  <c r="D22" i="131" s="1"/>
  <c r="B56" i="131"/>
  <c r="D56" i="131" s="1"/>
  <c r="F79" i="131"/>
  <c r="G79" i="131" s="1"/>
  <c r="F78" i="131"/>
  <c r="D40" i="127"/>
  <c r="D26" i="127"/>
  <c r="D27" i="127"/>
  <c r="D39" i="126"/>
  <c r="D38" i="125"/>
  <c r="F81" i="131" l="1"/>
  <c r="G78" i="131"/>
  <c r="G81" i="131" s="1"/>
  <c r="B16" i="125"/>
  <c r="B16" i="129"/>
  <c r="B16" i="128"/>
  <c r="B16" i="127"/>
  <c r="B16" i="126"/>
  <c r="B52" i="131" l="1"/>
  <c r="D52" i="131" s="1"/>
  <c r="B63" i="131"/>
  <c r="B35" i="128"/>
  <c r="H70" i="129"/>
  <c r="H71" i="129" s="1"/>
  <c r="G64" i="129"/>
  <c r="F70" i="129" s="1"/>
  <c r="G70" i="129" s="1"/>
  <c r="B57" i="129"/>
  <c r="D57" i="129" s="1"/>
  <c r="B56" i="129"/>
  <c r="B55" i="129"/>
  <c r="D55" i="129" s="1"/>
  <c r="B54" i="129"/>
  <c r="D54" i="129" s="1"/>
  <c r="B53" i="129"/>
  <c r="D53" i="129" s="1"/>
  <c r="D50" i="129"/>
  <c r="D49" i="129"/>
  <c r="D48" i="129"/>
  <c r="D47" i="129"/>
  <c r="D46" i="129"/>
  <c r="D45" i="129"/>
  <c r="D44" i="129"/>
  <c r="B34" i="129"/>
  <c r="D34" i="129" s="1"/>
  <c r="B26" i="129"/>
  <c r="D26" i="129" s="1"/>
  <c r="B25" i="129"/>
  <c r="B17" i="129"/>
  <c r="B24" i="129" s="1"/>
  <c r="D24" i="129" s="1"/>
  <c r="D50" i="128"/>
  <c r="D49" i="128"/>
  <c r="D48" i="128"/>
  <c r="D47" i="128"/>
  <c r="D46" i="128"/>
  <c r="D45" i="128"/>
  <c r="D44" i="128"/>
  <c r="B37" i="127"/>
  <c r="D37" i="127" s="1"/>
  <c r="B38" i="127"/>
  <c r="B31" i="127"/>
  <c r="B37" i="126"/>
  <c r="B36" i="125"/>
  <c r="D36" i="125" s="1"/>
  <c r="B30" i="126"/>
  <c r="B30" i="125"/>
  <c r="B31" i="128"/>
  <c r="H70" i="128"/>
  <c r="H71" i="128" s="1"/>
  <c r="G64" i="128"/>
  <c r="F70" i="128" s="1"/>
  <c r="G70" i="128" s="1"/>
  <c r="B57" i="128"/>
  <c r="D57" i="128" s="1"/>
  <c r="B56" i="128"/>
  <c r="B55" i="128"/>
  <c r="D55" i="128" s="1"/>
  <c r="B54" i="128"/>
  <c r="D54" i="128" s="1"/>
  <c r="B53" i="128"/>
  <c r="D53" i="128" s="1"/>
  <c r="B34" i="128"/>
  <c r="D34" i="128" s="1"/>
  <c r="B26" i="128"/>
  <c r="B25" i="128" s="1"/>
  <c r="B17" i="128"/>
  <c r="B42" i="128" s="1"/>
  <c r="B25" i="127"/>
  <c r="B29" i="127"/>
  <c r="B33" i="127"/>
  <c r="B24" i="127"/>
  <c r="B23" i="127"/>
  <c r="D23" i="127" s="1"/>
  <c r="B22" i="127"/>
  <c r="D22" i="127" s="1"/>
  <c r="B21" i="127"/>
  <c r="H60" i="127"/>
  <c r="H61" i="127" s="1"/>
  <c r="F59" i="127"/>
  <c r="G59" i="127" s="1"/>
  <c r="G54" i="127"/>
  <c r="F60" i="127" s="1"/>
  <c r="G60" i="127" s="1"/>
  <c r="B47" i="127"/>
  <c r="D47" i="127" s="1"/>
  <c r="B46" i="127"/>
  <c r="B45" i="127"/>
  <c r="D45" i="127" s="1"/>
  <c r="D44" i="127"/>
  <c r="B44" i="127"/>
  <c r="B43" i="127"/>
  <c r="D43" i="127" s="1"/>
  <c r="B36" i="127"/>
  <c r="D36" i="127" s="1"/>
  <c r="B34" i="127"/>
  <c r="D34" i="127" s="1"/>
  <c r="B28" i="127"/>
  <c r="D28" i="127" s="1"/>
  <c r="B27" i="127"/>
  <c r="B26" i="127" s="1"/>
  <c r="D25" i="127"/>
  <c r="B20" i="127"/>
  <c r="D20" i="127" s="1"/>
  <c r="B17" i="127"/>
  <c r="B39" i="127" s="1"/>
  <c r="D39" i="127" s="1"/>
  <c r="B45" i="125"/>
  <c r="B44" i="125"/>
  <c r="B46" i="126"/>
  <c r="B45" i="126"/>
  <c r="B44" i="126"/>
  <c r="B31" i="125" l="1"/>
  <c r="D31" i="125" s="1"/>
  <c r="D30" i="125"/>
  <c r="D49" i="131"/>
  <c r="D63" i="131"/>
  <c r="B30" i="129"/>
  <c r="B42" i="129"/>
  <c r="B29" i="129"/>
  <c r="B33" i="129"/>
  <c r="D33" i="129" s="1"/>
  <c r="B36" i="129"/>
  <c r="B27" i="129"/>
  <c r="D27" i="129" s="1"/>
  <c r="B28" i="129"/>
  <c r="D28" i="129" s="1"/>
  <c r="D36" i="129"/>
  <c r="B35" i="129"/>
  <c r="D35" i="129" s="1"/>
  <c r="F69" i="129"/>
  <c r="G69" i="129" s="1"/>
  <c r="B41" i="129"/>
  <c r="D41" i="129" s="1"/>
  <c r="B43" i="129"/>
  <c r="D43" i="129" s="1"/>
  <c r="B37" i="129"/>
  <c r="D37" i="129" s="1"/>
  <c r="B21" i="129"/>
  <c r="D21" i="129" s="1"/>
  <c r="D29" i="129"/>
  <c r="B31" i="129"/>
  <c r="B32" i="129" s="1"/>
  <c r="D32" i="129" s="1"/>
  <c r="B39" i="129"/>
  <c r="D39" i="129" s="1"/>
  <c r="B22" i="129"/>
  <c r="D22" i="129" s="1"/>
  <c r="B23" i="129"/>
  <c r="D23" i="129" s="1"/>
  <c r="D30" i="129"/>
  <c r="B38" i="129"/>
  <c r="D38" i="129" s="1"/>
  <c r="B40" i="129"/>
  <c r="D40" i="129" s="1"/>
  <c r="D42" i="129"/>
  <c r="F68" i="129"/>
  <c r="B20" i="129"/>
  <c r="D20" i="129" s="1"/>
  <c r="B36" i="128"/>
  <c r="D36" i="128" s="1"/>
  <c r="B43" i="128"/>
  <c r="B33" i="128"/>
  <c r="D33" i="128" s="1"/>
  <c r="B29" i="128"/>
  <c r="D35" i="128"/>
  <c r="B30" i="128"/>
  <c r="B28" i="128"/>
  <c r="B24" i="128"/>
  <c r="B22" i="128"/>
  <c r="D22" i="128" s="1"/>
  <c r="B27" i="128"/>
  <c r="D27" i="128" s="1"/>
  <c r="B40" i="128"/>
  <c r="D40" i="128" s="1"/>
  <c r="B23" i="128"/>
  <c r="B39" i="128"/>
  <c r="D39" i="128" s="1"/>
  <c r="B41" i="128"/>
  <c r="D41" i="128" s="1"/>
  <c r="D42" i="128"/>
  <c r="D26" i="128"/>
  <c r="B20" i="128"/>
  <c r="D20" i="128" s="1"/>
  <c r="B21" i="128"/>
  <c r="D21" i="128" s="1"/>
  <c r="D24" i="128"/>
  <c r="F69" i="128"/>
  <c r="G69" i="128" s="1"/>
  <c r="D28" i="128"/>
  <c r="B38" i="128"/>
  <c r="D38" i="128" s="1"/>
  <c r="D23" i="128"/>
  <c r="F68" i="128"/>
  <c r="D30" i="128"/>
  <c r="D43" i="128"/>
  <c r="D29" i="128"/>
  <c r="B37" i="128"/>
  <c r="D37" i="128" s="1"/>
  <c r="D21" i="127"/>
  <c r="D24" i="127"/>
  <c r="F58" i="127"/>
  <c r="B30" i="127"/>
  <c r="D30" i="127" s="1"/>
  <c r="D38" i="127"/>
  <c r="D29" i="127"/>
  <c r="D33" i="127"/>
  <c r="B35" i="127"/>
  <c r="D35" i="127" s="1"/>
  <c r="H59" i="126"/>
  <c r="H60" i="126" s="1"/>
  <c r="G53" i="126"/>
  <c r="F59" i="126" s="1"/>
  <c r="G59" i="126" s="1"/>
  <c r="D46" i="126"/>
  <c r="B43" i="126"/>
  <c r="D43" i="126" s="1"/>
  <c r="B42" i="126"/>
  <c r="D42" i="126" s="1"/>
  <c r="B33" i="126"/>
  <c r="D33" i="126" s="1"/>
  <c r="B26" i="126"/>
  <c r="D26" i="126" s="1"/>
  <c r="B17" i="126"/>
  <c r="G52" i="125"/>
  <c r="F58" i="125" s="1"/>
  <c r="B42" i="125"/>
  <c r="D42" i="125" s="1"/>
  <c r="B33" i="125"/>
  <c r="D33" i="125" s="1"/>
  <c r="B26" i="125"/>
  <c r="D26" i="125" s="1"/>
  <c r="H58" i="125"/>
  <c r="H59" i="125" s="1"/>
  <c r="B17" i="125"/>
  <c r="B37" i="125" l="1"/>
  <c r="D37" i="125" s="1"/>
  <c r="B35" i="125"/>
  <c r="D35" i="125" s="1"/>
  <c r="B28" i="125"/>
  <c r="D28" i="125" s="1"/>
  <c r="B32" i="125"/>
  <c r="D32" i="125" s="1"/>
  <c r="B25" i="125"/>
  <c r="D25" i="125" s="1"/>
  <c r="B24" i="126"/>
  <c r="B36" i="126"/>
  <c r="B25" i="126"/>
  <c r="D25" i="126" s="1"/>
  <c r="D70" i="131"/>
  <c r="D31" i="129"/>
  <c r="G68" i="129"/>
  <c r="G71" i="129" s="1"/>
  <c r="B58" i="129"/>
  <c r="D58" i="129" s="1"/>
  <c r="F71" i="129"/>
  <c r="B32" i="126"/>
  <c r="F58" i="126"/>
  <c r="G58" i="126" s="1"/>
  <c r="B32" i="128"/>
  <c r="D32" i="128" s="1"/>
  <c r="D31" i="128"/>
  <c r="G68" i="128"/>
  <c r="G71" i="128" s="1"/>
  <c r="B58" i="128"/>
  <c r="D58" i="128" s="1"/>
  <c r="F71" i="128"/>
  <c r="B32" i="127"/>
  <c r="D32" i="127" s="1"/>
  <c r="D31" i="127"/>
  <c r="G58" i="127"/>
  <c r="G61" i="127" s="1"/>
  <c r="B48" i="127"/>
  <c r="D48" i="127" s="1"/>
  <c r="F61" i="127"/>
  <c r="B23" i="126"/>
  <c r="D23" i="126" s="1"/>
  <c r="B35" i="126"/>
  <c r="D35" i="126" s="1"/>
  <c r="B21" i="126"/>
  <c r="D21" i="126" s="1"/>
  <c r="B27" i="126"/>
  <c r="B22" i="126"/>
  <c r="D22" i="126" s="1"/>
  <c r="B38" i="126"/>
  <c r="D38" i="126" s="1"/>
  <c r="D36" i="126"/>
  <c r="B34" i="126"/>
  <c r="D34" i="126" s="1"/>
  <c r="B28" i="126"/>
  <c r="D37" i="126"/>
  <c r="B20" i="126"/>
  <c r="D20" i="126" s="1"/>
  <c r="D24" i="126"/>
  <c r="F57" i="126"/>
  <c r="B47" i="126" s="1"/>
  <c r="D27" i="126"/>
  <c r="B29" i="126"/>
  <c r="D29" i="126" s="1"/>
  <c r="G58" i="125"/>
  <c r="B24" i="125"/>
  <c r="D24" i="125" s="1"/>
  <c r="F56" i="125"/>
  <c r="F57" i="125"/>
  <c r="G57" i="125" s="1"/>
  <c r="D45" i="125"/>
  <c r="B27" i="125"/>
  <c r="D27" i="125" s="1"/>
  <c r="B29" i="125"/>
  <c r="D29" i="125" s="1"/>
  <c r="B34" i="125"/>
  <c r="D34" i="125" s="1"/>
  <c r="B21" i="125"/>
  <c r="D21" i="125" s="1"/>
  <c r="B20" i="125"/>
  <c r="D20" i="125" s="1"/>
  <c r="B22" i="125"/>
  <c r="D22" i="125" s="1"/>
  <c r="B23" i="125"/>
  <c r="D23" i="125" s="1"/>
  <c r="B17" i="72"/>
  <c r="D60" i="129" l="1"/>
  <c r="B43" i="125"/>
  <c r="B46" i="125"/>
  <c r="D46" i="125" s="1"/>
  <c r="D50" i="127"/>
  <c r="D60" i="128"/>
  <c r="D32" i="126"/>
  <c r="D28" i="126"/>
  <c r="B31" i="126"/>
  <c r="D31" i="126" s="1"/>
  <c r="D30" i="126"/>
  <c r="G57" i="126"/>
  <c r="G60" i="126" s="1"/>
  <c r="D47" i="126"/>
  <c r="F60" i="126"/>
  <c r="D44" i="126"/>
  <c r="B41" i="125"/>
  <c r="D41" i="125" s="1"/>
  <c r="G56" i="125"/>
  <c r="G59" i="125" s="1"/>
  <c r="F59" i="125"/>
  <c r="B23" i="124"/>
  <c r="B24" i="124"/>
  <c r="B20" i="124"/>
  <c r="B18" i="124"/>
  <c r="D49" i="126" l="1"/>
  <c r="D43" i="125"/>
  <c r="D27" i="124"/>
  <c r="D24" i="124"/>
  <c r="B9" i="124"/>
  <c r="B8" i="124"/>
  <c r="D48" i="125" l="1"/>
  <c r="B19" i="124"/>
  <c r="D23" i="124"/>
  <c r="B13" i="124"/>
  <c r="D13" i="124" s="1"/>
  <c r="B15" i="124"/>
  <c r="D15" i="124" s="1"/>
  <c r="B12" i="124"/>
  <c r="D12" i="124" s="1"/>
  <c r="D18" i="124"/>
  <c r="B14" i="124"/>
  <c r="D14" i="124" s="1"/>
  <c r="B16" i="124"/>
  <c r="D16" i="124" s="1"/>
  <c r="B17" i="124"/>
  <c r="D17" i="124" s="1"/>
  <c r="B48" i="117"/>
  <c r="D48" i="117" s="1"/>
  <c r="B55" i="100"/>
  <c r="D55" i="100" s="1"/>
  <c r="B44" i="73"/>
  <c r="D44" i="73" s="1"/>
  <c r="B43" i="73"/>
  <c r="B42" i="72"/>
  <c r="D42" i="72" s="1"/>
  <c r="B42" i="71"/>
  <c r="D42" i="71" s="1"/>
  <c r="B47" i="52"/>
  <c r="D47" i="52" s="1"/>
  <c r="B45" i="47"/>
  <c r="D45" i="47" s="1"/>
  <c r="B44" i="18"/>
  <c r="D44" i="18" s="1"/>
  <c r="B42" i="28"/>
  <c r="B43" i="28"/>
  <c r="D43" i="28" s="1"/>
  <c r="B39" i="22"/>
  <c r="D39" i="22" s="1"/>
  <c r="B40" i="12"/>
  <c r="D40" i="12" s="1"/>
  <c r="B41" i="22" l="1"/>
  <c r="B25" i="65"/>
  <c r="B25" i="22"/>
  <c r="D25" i="22" s="1"/>
  <c r="D20" i="124" l="1"/>
  <c r="D28" i="124" s="1"/>
  <c r="B38" i="22"/>
  <c r="B16" i="22"/>
  <c r="B22" i="72"/>
  <c r="D22" i="72" s="1"/>
  <c r="B21" i="72"/>
  <c r="D21" i="72" s="1"/>
  <c r="B22" i="71"/>
  <c r="B34" i="72"/>
  <c r="B35" i="72" s="1"/>
  <c r="B40" i="18"/>
  <c r="B16" i="12"/>
  <c r="B33" i="12" s="1"/>
  <c r="B34" i="12" s="1"/>
  <c r="B35" i="12" s="1"/>
  <c r="B30" i="18"/>
  <c r="D30" i="18" s="1"/>
  <c r="B28" i="52"/>
  <c r="B31" i="18"/>
  <c r="B37" i="65"/>
  <c r="B38" i="65" s="1"/>
  <c r="D38" i="65" s="1"/>
  <c r="B37" i="52"/>
  <c r="B36" i="52"/>
  <c r="B39" i="52"/>
  <c r="D39" i="52" s="1"/>
  <c r="B38" i="52"/>
  <c r="D38" i="52" s="1"/>
  <c r="B34" i="47"/>
  <c r="D34" i="47" s="1"/>
  <c r="B35" i="47"/>
  <c r="D35" i="47" s="1"/>
  <c r="B36" i="47"/>
  <c r="D36" i="47" s="1"/>
  <c r="B37" i="47"/>
  <c r="D37" i="47" s="1"/>
  <c r="B36" i="18"/>
  <c r="B35" i="18"/>
  <c r="B17" i="52"/>
  <c r="B21" i="52" s="1"/>
  <c r="D21" i="52" s="1"/>
  <c r="B18" i="47"/>
  <c r="B21" i="47" s="1"/>
  <c r="D21" i="47" s="1"/>
  <c r="B18" i="18"/>
  <c r="B38" i="18" s="1"/>
  <c r="D38" i="18" s="1"/>
  <c r="B26" i="18"/>
  <c r="D26" i="18" s="1"/>
  <c r="B16" i="117"/>
  <c r="B26" i="117" s="1"/>
  <c r="D26" i="117" s="1"/>
  <c r="B33" i="123"/>
  <c r="B19" i="123"/>
  <c r="B9" i="123"/>
  <c r="B28" i="123" s="1"/>
  <c r="D28" i="123" s="1"/>
  <c r="B30" i="117"/>
  <c r="D30" i="117" s="1"/>
  <c r="B31" i="123"/>
  <c r="D31" i="123" s="1"/>
  <c r="B29" i="123"/>
  <c r="D29" i="123"/>
  <c r="B27" i="123"/>
  <c r="D27" i="123" s="1"/>
  <c r="B25" i="123"/>
  <c r="B24" i="123"/>
  <c r="B23" i="123"/>
  <c r="D23" i="123" s="1"/>
  <c r="B21" i="123"/>
  <c r="B17" i="123"/>
  <c r="B16" i="123"/>
  <c r="D16" i="123" s="1"/>
  <c r="B15" i="123"/>
  <c r="D15" i="123" s="1"/>
  <c r="D17" i="123"/>
  <c r="D19" i="123"/>
  <c r="B20" i="123"/>
  <c r="D20" i="123" s="1"/>
  <c r="D21" i="123"/>
  <c r="D24" i="123"/>
  <c r="D25" i="123"/>
  <c r="B26" i="123"/>
  <c r="D26" i="123" s="1"/>
  <c r="D33" i="123"/>
  <c r="B14" i="123"/>
  <c r="B13" i="123"/>
  <c r="D13" i="123" s="1"/>
  <c r="B12" i="123"/>
  <c r="D12" i="123" s="1"/>
  <c r="D14" i="123"/>
  <c r="B27" i="117"/>
  <c r="B34" i="117"/>
  <c r="D34" i="117" s="1"/>
  <c r="B33" i="117"/>
  <c r="D33" i="117" s="1"/>
  <c r="B15" i="117"/>
  <c r="B29" i="117" s="1"/>
  <c r="D29" i="117" s="1"/>
  <c r="B21" i="117"/>
  <c r="D21" i="117"/>
  <c r="D27" i="117"/>
  <c r="B35" i="117"/>
  <c r="D35" i="117" s="1"/>
  <c r="B36" i="117"/>
  <c r="D36" i="117" s="1"/>
  <c r="B37" i="117"/>
  <c r="D37" i="117" s="1"/>
  <c r="B38" i="117"/>
  <c r="D38" i="117"/>
  <c r="B41" i="117"/>
  <c r="D41" i="117" s="1"/>
  <c r="B47" i="117"/>
  <c r="D47" i="117" s="1"/>
  <c r="B49" i="117"/>
  <c r="D49" i="117" s="1"/>
  <c r="B50" i="117"/>
  <c r="D50" i="117" s="1"/>
  <c r="B51" i="117"/>
  <c r="D51" i="117" s="1"/>
  <c r="B53" i="117"/>
  <c r="D53" i="117" s="1"/>
  <c r="B55" i="117"/>
  <c r="D55" i="117" s="1"/>
  <c r="B56" i="117"/>
  <c r="D56" i="117" s="1"/>
  <c r="B58" i="117"/>
  <c r="D58" i="117" s="1"/>
  <c r="B59" i="117"/>
  <c r="D59" i="117" s="1"/>
  <c r="D62" i="117"/>
  <c r="D63" i="117"/>
  <c r="G74" i="117"/>
  <c r="G75" i="117" s="1"/>
  <c r="B58" i="100"/>
  <c r="D58" i="100" s="1"/>
  <c r="B57" i="100"/>
  <c r="D57" i="100" s="1"/>
  <c r="B16" i="100"/>
  <c r="B56" i="100"/>
  <c r="B54" i="100"/>
  <c r="D54" i="100" s="1"/>
  <c r="B63" i="100"/>
  <c r="D63" i="100" s="1"/>
  <c r="B61" i="100"/>
  <c r="D61" i="100" s="1"/>
  <c r="B62" i="100"/>
  <c r="B65" i="100"/>
  <c r="B15" i="100"/>
  <c r="B44" i="100" s="1"/>
  <c r="D44" i="100" s="1"/>
  <c r="B38" i="100"/>
  <c r="D38" i="100" s="1"/>
  <c r="B36" i="100"/>
  <c r="D36" i="100" s="1"/>
  <c r="B27" i="100"/>
  <c r="D27" i="100"/>
  <c r="B59" i="100"/>
  <c r="D59" i="100" s="1"/>
  <c r="B60" i="100"/>
  <c r="D60" i="100" s="1"/>
  <c r="B66" i="100"/>
  <c r="D66" i="100" s="1"/>
  <c r="H81" i="100"/>
  <c r="H82" i="100"/>
  <c r="D62" i="100"/>
  <c r="D65" i="100"/>
  <c r="D45" i="100"/>
  <c r="D46" i="100"/>
  <c r="D47" i="100"/>
  <c r="D48" i="100"/>
  <c r="D49" i="100"/>
  <c r="D50" i="100"/>
  <c r="D51" i="100"/>
  <c r="B42" i="100"/>
  <c r="D42" i="100" s="1"/>
  <c r="B37" i="100"/>
  <c r="D37" i="100" s="1"/>
  <c r="B33" i="100"/>
  <c r="D33" i="100" s="1"/>
  <c r="B34" i="100"/>
  <c r="D34" i="100" s="1"/>
  <c r="B32" i="100"/>
  <c r="D32" i="100" s="1"/>
  <c r="B30" i="100"/>
  <c r="D30" i="100" s="1"/>
  <c r="B28" i="100"/>
  <c r="D28" i="100" s="1"/>
  <c r="B29" i="100"/>
  <c r="D29" i="100" s="1"/>
  <c r="B26" i="100"/>
  <c r="D26" i="100" s="1"/>
  <c r="B24" i="100"/>
  <c r="D24" i="100" s="1"/>
  <c r="B21" i="100"/>
  <c r="D21" i="100" s="1"/>
  <c r="B20" i="100"/>
  <c r="D20" i="100" s="1"/>
  <c r="B19" i="100"/>
  <c r="D19" i="100" s="1"/>
  <c r="B22" i="100"/>
  <c r="D22" i="100" s="1"/>
  <c r="B23" i="100"/>
  <c r="D23" i="100" s="1"/>
  <c r="B35" i="100"/>
  <c r="D35" i="100" s="1"/>
  <c r="B39" i="100"/>
  <c r="D39" i="100" s="1"/>
  <c r="D56" i="100"/>
  <c r="D69" i="100"/>
  <c r="D70" i="100"/>
  <c r="B35" i="91"/>
  <c r="B33" i="91"/>
  <c r="B34" i="91" s="1"/>
  <c r="D34" i="91" s="1"/>
  <c r="B34" i="92"/>
  <c r="D34" i="92" s="1"/>
  <c r="B32" i="92"/>
  <c r="D32" i="92" s="1"/>
  <c r="B28" i="92"/>
  <c r="B23" i="92"/>
  <c r="D23" i="92" s="1"/>
  <c r="B12" i="92"/>
  <c r="B35" i="92" s="1"/>
  <c r="D35" i="92" s="1"/>
  <c r="B27" i="92"/>
  <c r="D27" i="92" s="1"/>
  <c r="B14" i="92"/>
  <c r="D14" i="92"/>
  <c r="B15" i="92"/>
  <c r="D15" i="92" s="1"/>
  <c r="B16" i="92"/>
  <c r="D16" i="92" s="1"/>
  <c r="B17" i="92"/>
  <c r="D17" i="92" s="1"/>
  <c r="B18" i="92"/>
  <c r="D18" i="92" s="1"/>
  <c r="B19" i="92"/>
  <c r="D19" i="92" s="1"/>
  <c r="B20" i="92"/>
  <c r="D20" i="92" s="1"/>
  <c r="B21" i="92"/>
  <c r="D21" i="92" s="1"/>
  <c r="B22" i="92"/>
  <c r="D22" i="92"/>
  <c r="B24" i="92"/>
  <c r="D24" i="92"/>
  <c r="B25" i="92"/>
  <c r="D25" i="92" s="1"/>
  <c r="B26" i="92"/>
  <c r="D26" i="92" s="1"/>
  <c r="D28" i="92"/>
  <c r="B26" i="91"/>
  <c r="D26" i="91" s="1"/>
  <c r="B35" i="28"/>
  <c r="D35" i="28" s="1"/>
  <c r="B35" i="52"/>
  <c r="D35" i="52" s="1"/>
  <c r="B34" i="65"/>
  <c r="B34" i="73"/>
  <c r="B33" i="52"/>
  <c r="B34" i="52" s="1"/>
  <c r="D34" i="52" s="1"/>
  <c r="B32" i="65"/>
  <c r="B33" i="65" s="1"/>
  <c r="B35" i="65" s="1"/>
  <c r="B41" i="65" s="1"/>
  <c r="D41" i="65" s="1"/>
  <c r="B32" i="73"/>
  <c r="B33" i="73" s="1"/>
  <c r="B35" i="73" s="1"/>
  <c r="D35" i="73" s="1"/>
  <c r="B12" i="91"/>
  <c r="B36" i="91" s="1"/>
  <c r="D36" i="91" s="1"/>
  <c r="B32" i="28"/>
  <c r="B34" i="28" s="1"/>
  <c r="D34" i="28" s="1"/>
  <c r="B29" i="91"/>
  <c r="B28" i="91"/>
  <c r="D28" i="91" s="1"/>
  <c r="B27" i="91"/>
  <c r="D27" i="91" s="1"/>
  <c r="B24" i="91"/>
  <c r="D24" i="91" s="1"/>
  <c r="B22" i="91"/>
  <c r="D22" i="91" s="1"/>
  <c r="B23" i="91"/>
  <c r="D23" i="91" s="1"/>
  <c r="B19" i="91"/>
  <c r="D19" i="91" s="1"/>
  <c r="B20" i="91"/>
  <c r="B17" i="91"/>
  <c r="D17" i="91" s="1"/>
  <c r="B16" i="91"/>
  <c r="D16" i="91" s="1"/>
  <c r="B15" i="91"/>
  <c r="D15" i="91" s="1"/>
  <c r="B14" i="91"/>
  <c r="D35" i="91"/>
  <c r="D14" i="91"/>
  <c r="B18" i="91"/>
  <c r="D18" i="91" s="1"/>
  <c r="D20" i="91"/>
  <c r="D29" i="91"/>
  <c r="D40" i="91"/>
  <c r="D41" i="91"/>
  <c r="D42" i="91"/>
  <c r="D43" i="91"/>
  <c r="D44" i="91"/>
  <c r="B28" i="28"/>
  <c r="D28" i="28" s="1"/>
  <c r="B26" i="28"/>
  <c r="D26" i="28" s="1"/>
  <c r="B25" i="28"/>
  <c r="D25" i="28" s="1"/>
  <c r="B23" i="28"/>
  <c r="D23" i="28" s="1"/>
  <c r="B20" i="28"/>
  <c r="B22" i="28"/>
  <c r="B19" i="28"/>
  <c r="D19" i="28" s="1"/>
  <c r="B16" i="73"/>
  <c r="B24" i="73" s="1"/>
  <c r="D24" i="73" s="1"/>
  <c r="B30" i="73"/>
  <c r="D30" i="73" s="1"/>
  <c r="B27" i="73"/>
  <c r="D27" i="73" s="1"/>
  <c r="B23" i="73"/>
  <c r="B22" i="73"/>
  <c r="D22" i="73" s="1"/>
  <c r="B20" i="73"/>
  <c r="B19" i="73"/>
  <c r="B21" i="73"/>
  <c r="B16" i="28"/>
  <c r="B24" i="28" s="1"/>
  <c r="D24" i="28" s="1"/>
  <c r="B15" i="28"/>
  <c r="B31" i="28" s="1"/>
  <c r="D31" i="28" s="1"/>
  <c r="B15" i="73"/>
  <c r="B31" i="73" s="1"/>
  <c r="D31" i="73" s="1"/>
  <c r="B21" i="28"/>
  <c r="D21" i="28" s="1"/>
  <c r="B20" i="72"/>
  <c r="D20" i="72" s="1"/>
  <c r="B30" i="72"/>
  <c r="D30" i="72" s="1"/>
  <c r="B25" i="72"/>
  <c r="B16" i="72"/>
  <c r="B33" i="72" s="1"/>
  <c r="B28" i="72"/>
  <c r="D28" i="72" s="1"/>
  <c r="D25" i="72"/>
  <c r="B16" i="71"/>
  <c r="B20" i="71" s="1"/>
  <c r="D20" i="71" s="1"/>
  <c r="B26" i="71"/>
  <c r="D26" i="71"/>
  <c r="B27" i="71"/>
  <c r="D27" i="71" s="1"/>
  <c r="B24" i="71"/>
  <c r="B15" i="71"/>
  <c r="B29" i="71" s="1"/>
  <c r="D29" i="71" s="1"/>
  <c r="B30" i="71"/>
  <c r="D30" i="71" s="1"/>
  <c r="B28" i="71"/>
  <c r="D28" i="71" s="1"/>
  <c r="B19" i="71"/>
  <c r="D19" i="71"/>
  <c r="D22" i="71"/>
  <c r="B23" i="71"/>
  <c r="D23" i="71" s="1"/>
  <c r="D24" i="71"/>
  <c r="B25" i="71"/>
  <c r="D25" i="71" s="1"/>
  <c r="B32" i="71"/>
  <c r="D32" i="71"/>
  <c r="B41" i="71"/>
  <c r="D41" i="71" s="1"/>
  <c r="B43" i="71"/>
  <c r="D43" i="71" s="1"/>
  <c r="B58" i="71"/>
  <c r="D44" i="71"/>
  <c r="B45" i="71"/>
  <c r="D45" i="71" s="1"/>
  <c r="B46" i="71"/>
  <c r="D46" i="71" s="1"/>
  <c r="B47" i="71"/>
  <c r="D47" i="71" s="1"/>
  <c r="B49" i="71"/>
  <c r="D49" i="71" s="1"/>
  <c r="B50" i="71"/>
  <c r="D50" i="71" s="1"/>
  <c r="B52" i="71"/>
  <c r="B53" i="71" s="1"/>
  <c r="D53" i="71" s="1"/>
  <c r="B57" i="71"/>
  <c r="D57" i="71" s="1"/>
  <c r="D58" i="71"/>
  <c r="D61" i="71"/>
  <c r="D62" i="71"/>
  <c r="D63" i="71"/>
  <c r="D64" i="71"/>
  <c r="D65" i="71"/>
  <c r="B23" i="72"/>
  <c r="D23" i="72" s="1"/>
  <c r="B24" i="72"/>
  <c r="D24" i="72" s="1"/>
  <c r="B26" i="72"/>
  <c r="D26" i="72" s="1"/>
  <c r="B27" i="72"/>
  <c r="D27" i="72" s="1"/>
  <c r="D34" i="72"/>
  <c r="B41" i="72"/>
  <c r="B57" i="72" s="1"/>
  <c r="D57" i="72" s="1"/>
  <c r="B43" i="72"/>
  <c r="D43" i="72" s="1"/>
  <c r="B44" i="72"/>
  <c r="B58" i="72"/>
  <c r="D44" i="72" s="1"/>
  <c r="B45" i="72"/>
  <c r="D45" i="72" s="1"/>
  <c r="B46" i="72"/>
  <c r="D46" i="72" s="1"/>
  <c r="B48" i="72"/>
  <c r="D48" i="72" s="1"/>
  <c r="B49" i="72"/>
  <c r="D49" i="72" s="1"/>
  <c r="B50" i="72"/>
  <c r="D50" i="72" s="1"/>
  <c r="B52" i="72"/>
  <c r="D52" i="72" s="1"/>
  <c r="B53" i="72"/>
  <c r="D53" i="72" s="1"/>
  <c r="B54" i="72"/>
  <c r="D54" i="72" s="1"/>
  <c r="D61" i="72"/>
  <c r="D62" i="72"/>
  <c r="D63" i="72"/>
  <c r="D64" i="72"/>
  <c r="D65" i="72"/>
  <c r="D19" i="73"/>
  <c r="D20" i="73"/>
  <c r="D21" i="73"/>
  <c r="D23" i="73"/>
  <c r="B25" i="73"/>
  <c r="D25" i="73"/>
  <c r="B26" i="73"/>
  <c r="D26" i="73" s="1"/>
  <c r="B28" i="73"/>
  <c r="D28" i="73" s="1"/>
  <c r="B29" i="73"/>
  <c r="D29" i="73" s="1"/>
  <c r="D34" i="73"/>
  <c r="B40" i="73"/>
  <c r="D40" i="73" s="1"/>
  <c r="B59" i="73"/>
  <c r="D59" i="73" s="1"/>
  <c r="D43" i="73"/>
  <c r="B45" i="73"/>
  <c r="D45" i="73" s="1"/>
  <c r="B46" i="73"/>
  <c r="B60" i="73"/>
  <c r="D46" i="73" s="1"/>
  <c r="B47" i="73"/>
  <c r="D47" i="73" s="1"/>
  <c r="B48" i="73"/>
  <c r="D48" i="73" s="1"/>
  <c r="B49" i="73"/>
  <c r="D49" i="73" s="1"/>
  <c r="B50" i="73"/>
  <c r="D50" i="73" s="1"/>
  <c r="B51" i="73"/>
  <c r="D51" i="73"/>
  <c r="B52" i="73"/>
  <c r="D52" i="73" s="1"/>
  <c r="B54" i="73"/>
  <c r="D54" i="73" s="1"/>
  <c r="B56" i="73"/>
  <c r="D56" i="73" s="1"/>
  <c r="B57" i="73"/>
  <c r="D57" i="73" s="1"/>
  <c r="D63" i="73"/>
  <c r="D64" i="73"/>
  <c r="D65" i="73"/>
  <c r="D66" i="73"/>
  <c r="D67" i="73"/>
  <c r="B15" i="65"/>
  <c r="B23" i="65" s="1"/>
  <c r="D23" i="65" s="1"/>
  <c r="B16" i="65"/>
  <c r="B22" i="65" s="1"/>
  <c r="D22" i="65" s="1"/>
  <c r="B24" i="65"/>
  <c r="D24" i="65" s="1"/>
  <c r="B21" i="65"/>
  <c r="D21" i="65" s="1"/>
  <c r="B20" i="65"/>
  <c r="D20" i="65" s="1"/>
  <c r="D25" i="65"/>
  <c r="B28" i="65"/>
  <c r="D28" i="65" s="1"/>
  <c r="B29" i="65"/>
  <c r="B42" i="65"/>
  <c r="D29" i="65" s="1"/>
  <c r="B30" i="65"/>
  <c r="D30" i="65" s="1"/>
  <c r="B31" i="65"/>
  <c r="D31" i="65" s="1"/>
  <c r="D34" i="65"/>
  <c r="B39" i="65"/>
  <c r="D39" i="65"/>
  <c r="B40" i="65"/>
  <c r="D40" i="65" s="1"/>
  <c r="B27" i="52"/>
  <c r="D27" i="52" s="1"/>
  <c r="B27" i="47"/>
  <c r="D27" i="47" s="1"/>
  <c r="B27" i="18"/>
  <c r="D27" i="18" s="1"/>
  <c r="B30" i="52"/>
  <c r="D30" i="52" s="1"/>
  <c r="B29" i="52"/>
  <c r="D29" i="52" s="1"/>
  <c r="B31" i="52"/>
  <c r="B16" i="52"/>
  <c r="F78" i="52" s="1"/>
  <c r="G78" i="52" s="1"/>
  <c r="B25" i="52"/>
  <c r="D25" i="52" s="1"/>
  <c r="B23" i="52"/>
  <c r="D23" i="52" s="1"/>
  <c r="B22" i="52"/>
  <c r="D22" i="52" s="1"/>
  <c r="B24" i="52"/>
  <c r="D24" i="52" s="1"/>
  <c r="D28" i="52"/>
  <c r="D31" i="52"/>
  <c r="B32" i="52"/>
  <c r="D32" i="52" s="1"/>
  <c r="D36" i="52"/>
  <c r="D37" i="52"/>
  <c r="B41" i="52"/>
  <c r="D41" i="52" s="1"/>
  <c r="B43" i="52"/>
  <c r="D43" i="52" s="1"/>
  <c r="H78" i="52"/>
  <c r="H79" i="52" s="1"/>
  <c r="B46" i="52" s="1"/>
  <c r="D46" i="52" s="1"/>
  <c r="B48" i="52"/>
  <c r="D48" i="52"/>
  <c r="B49" i="52"/>
  <c r="B50" i="52"/>
  <c r="D50" i="52" s="1"/>
  <c r="B51" i="52"/>
  <c r="D51" i="52" s="1"/>
  <c r="B53" i="52"/>
  <c r="D53" i="52" s="1"/>
  <c r="B54" i="52"/>
  <c r="D54" i="52" s="1"/>
  <c r="B55" i="52"/>
  <c r="D55" i="52" s="1"/>
  <c r="B59" i="52"/>
  <c r="D59" i="52" s="1"/>
  <c r="B62" i="52"/>
  <c r="D62" i="52"/>
  <c r="D66" i="52"/>
  <c r="D67" i="52"/>
  <c r="B17" i="47"/>
  <c r="B28" i="47"/>
  <c r="D28" i="47" s="1"/>
  <c r="B29" i="47"/>
  <c r="D29" i="47" s="1"/>
  <c r="B32" i="47"/>
  <c r="D32" i="47" s="1"/>
  <c r="B24" i="47"/>
  <c r="D24" i="47" s="1"/>
  <c r="B30" i="47"/>
  <c r="D30" i="47" s="1"/>
  <c r="B33" i="47"/>
  <c r="D33" i="47" s="1"/>
  <c r="H76" i="47"/>
  <c r="H77" i="47"/>
  <c r="B44" i="47" s="1"/>
  <c r="D44" i="47" s="1"/>
  <c r="B46" i="47"/>
  <c r="D46" i="47" s="1"/>
  <c r="B47" i="47"/>
  <c r="F76" i="47"/>
  <c r="G76" i="47" s="1"/>
  <c r="F74" i="47"/>
  <c r="G74" i="47" s="1"/>
  <c r="F75" i="47"/>
  <c r="G75" i="47" s="1"/>
  <c r="B48" i="47"/>
  <c r="D48" i="47"/>
  <c r="B49" i="47"/>
  <c r="D49" i="47" s="1"/>
  <c r="B51" i="47"/>
  <c r="D51" i="47"/>
  <c r="B52" i="47"/>
  <c r="D52" i="47" s="1"/>
  <c r="B53" i="47"/>
  <c r="D53" i="47"/>
  <c r="B57" i="47"/>
  <c r="D57" i="47" s="1"/>
  <c r="B59" i="47"/>
  <c r="D59" i="47"/>
  <c r="B60" i="47"/>
  <c r="D60" i="47" s="1"/>
  <c r="D64" i="47"/>
  <c r="D65" i="47"/>
  <c r="B48" i="28"/>
  <c r="D48" i="28" s="1"/>
  <c r="B55" i="28"/>
  <c r="D55" i="28" s="1"/>
  <c r="B50" i="28"/>
  <c r="B51" i="28"/>
  <c r="D51" i="28" s="1"/>
  <c r="B47" i="28"/>
  <c r="D47" i="28" s="1"/>
  <c r="B46" i="28"/>
  <c r="B45" i="28"/>
  <c r="B49" i="28"/>
  <c r="D49" i="28" s="1"/>
  <c r="B53" i="28"/>
  <c r="D53" i="28" s="1"/>
  <c r="B58" i="28"/>
  <c r="D58" i="28" s="1"/>
  <c r="B27" i="28"/>
  <c r="D27" i="28" s="1"/>
  <c r="B29" i="28"/>
  <c r="D29" i="28" s="1"/>
  <c r="B30" i="28"/>
  <c r="D30" i="28" s="1"/>
  <c r="D32" i="28"/>
  <c r="B39" i="28"/>
  <c r="D39" i="28" s="1"/>
  <c r="D22" i="28"/>
  <c r="D20" i="28"/>
  <c r="B44" i="28"/>
  <c r="D44" i="28" s="1"/>
  <c r="B59" i="28"/>
  <c r="D59" i="28" s="1"/>
  <c r="D46" i="28"/>
  <c r="D62" i="28"/>
  <c r="D63" i="28"/>
  <c r="D64" i="28"/>
  <c r="D65" i="28"/>
  <c r="D66" i="28"/>
  <c r="B49" i="22"/>
  <c r="D49" i="22" s="1"/>
  <c r="B47" i="22"/>
  <c r="B53" i="22" s="1"/>
  <c r="D53" i="22" s="1"/>
  <c r="B46" i="22"/>
  <c r="B42" i="22"/>
  <c r="D42" i="22" s="1"/>
  <c r="B17" i="22"/>
  <c r="B15" i="12"/>
  <c r="B30" i="12" s="1"/>
  <c r="B27" i="22"/>
  <c r="D27" i="22" s="1"/>
  <c r="B26" i="22"/>
  <c r="D26" i="22" s="1"/>
  <c r="B22" i="22"/>
  <c r="D22" i="22" s="1"/>
  <c r="B24" i="22"/>
  <c r="D24" i="22" s="1"/>
  <c r="B43" i="22"/>
  <c r="D43" i="22" s="1"/>
  <c r="B44" i="22"/>
  <c r="D44" i="22" s="1"/>
  <c r="D58" i="22"/>
  <c r="D59" i="22"/>
  <c r="D60" i="22"/>
  <c r="D61" i="22"/>
  <c r="D62" i="22"/>
  <c r="B45" i="12"/>
  <c r="D45" i="12" s="1"/>
  <c r="B56" i="12"/>
  <c r="D42" i="12" s="1"/>
  <c r="B48" i="12"/>
  <c r="B47" i="12"/>
  <c r="D47" i="12" s="1"/>
  <c r="B44" i="12"/>
  <c r="D44" i="12" s="1"/>
  <c r="B43" i="12"/>
  <c r="D43" i="12" s="1"/>
  <c r="B50" i="12"/>
  <c r="B51" i="12" s="1"/>
  <c r="D51" i="12" s="1"/>
  <c r="B39" i="12"/>
  <c r="D39" i="12" s="1"/>
  <c r="B31" i="12"/>
  <c r="D31" i="12" s="1"/>
  <c r="B27" i="12"/>
  <c r="D27" i="12" s="1"/>
  <c r="B28" i="12"/>
  <c r="D28" i="12" s="1"/>
  <c r="B26" i="12"/>
  <c r="D26" i="12" s="1"/>
  <c r="B25" i="12"/>
  <c r="D25" i="12" s="1"/>
  <c r="B24" i="12"/>
  <c r="D24" i="12" s="1"/>
  <c r="B23" i="12"/>
  <c r="D23" i="12" s="1"/>
  <c r="B19" i="12"/>
  <c r="D19" i="12" s="1"/>
  <c r="B20" i="12"/>
  <c r="D20" i="12" s="1"/>
  <c r="B21" i="12"/>
  <c r="D21" i="12" s="1"/>
  <c r="B22" i="12"/>
  <c r="D22" i="12" s="1"/>
  <c r="B51" i="18"/>
  <c r="B52" i="18"/>
  <c r="D52" i="18" s="1"/>
  <c r="H75" i="18"/>
  <c r="H76" i="18" s="1"/>
  <c r="B17" i="18"/>
  <c r="B37" i="18" s="1"/>
  <c r="D37" i="18" s="1"/>
  <c r="B48" i="18"/>
  <c r="D48" i="18" s="1"/>
  <c r="B47" i="18"/>
  <c r="D47" i="18" s="1"/>
  <c r="B32" i="18"/>
  <c r="D32" i="18" s="1"/>
  <c r="B24" i="18"/>
  <c r="D24" i="18" s="1"/>
  <c r="B23" i="18"/>
  <c r="D23" i="18" s="1"/>
  <c r="B34" i="18"/>
  <c r="D34" i="18" s="1"/>
  <c r="D35" i="18"/>
  <c r="D36" i="18"/>
  <c r="B29" i="18"/>
  <c r="D29" i="18" s="1"/>
  <c r="D31" i="18"/>
  <c r="B25" i="18"/>
  <c r="B22" i="18"/>
  <c r="D22" i="18" s="1"/>
  <c r="B21" i="18"/>
  <c r="D21" i="18" s="1"/>
  <c r="B28" i="18"/>
  <c r="D28" i="18" s="1"/>
  <c r="D25" i="18"/>
  <c r="D40" i="18"/>
  <c r="D51" i="18"/>
  <c r="B59" i="18"/>
  <c r="D59" i="18" s="1"/>
  <c r="D63" i="18"/>
  <c r="D64" i="18"/>
  <c r="B54" i="12"/>
  <c r="D54" i="12" s="1"/>
  <c r="B49" i="12"/>
  <c r="D49" i="12" s="1"/>
  <c r="D50" i="12"/>
  <c r="B55" i="12"/>
  <c r="D55" i="12" s="1"/>
  <c r="D33" i="12"/>
  <c r="D34" i="12"/>
  <c r="D35" i="12"/>
  <c r="D48" i="12"/>
  <c r="D59" i="12"/>
  <c r="D60" i="12"/>
  <c r="D61" i="12"/>
  <c r="D62" i="12"/>
  <c r="D63" i="12"/>
  <c r="B43" i="18" l="1"/>
  <c r="D43" i="18" s="1"/>
  <c r="B54" i="18"/>
  <c r="B55" i="18" s="1"/>
  <c r="D55" i="18" s="1"/>
  <c r="B36" i="65"/>
  <c r="D36" i="65" s="1"/>
  <c r="B61" i="52"/>
  <c r="D61" i="52" s="1"/>
  <c r="F76" i="52"/>
  <c r="G76" i="52" s="1"/>
  <c r="B19" i="65"/>
  <c r="D19" i="65" s="1"/>
  <c r="B58" i="73"/>
  <c r="D58" i="73" s="1"/>
  <c r="B53" i="73"/>
  <c r="D53" i="73" s="1"/>
  <c r="D58" i="72"/>
  <c r="D52" i="71"/>
  <c r="B56" i="72"/>
  <c r="D56" i="72" s="1"/>
  <c r="B51" i="72"/>
  <c r="D51" i="72" s="1"/>
  <c r="F81" i="100"/>
  <c r="G81" i="100" s="1"/>
  <c r="E72" i="117"/>
  <c r="F72" i="117" s="1"/>
  <c r="D41" i="22"/>
  <c r="B55" i="22"/>
  <c r="D55" i="22" s="1"/>
  <c r="B40" i="100"/>
  <c r="D40" i="100" s="1"/>
  <c r="B57" i="28"/>
  <c r="D57" i="28" s="1"/>
  <c r="F77" i="52"/>
  <c r="G77" i="52" s="1"/>
  <c r="B40" i="52"/>
  <c r="D40" i="52" s="1"/>
  <c r="D32" i="65"/>
  <c r="B55" i="72"/>
  <c r="D55" i="72" s="1"/>
  <c r="B22" i="123"/>
  <c r="D22" i="123" s="1"/>
  <c r="B32" i="12"/>
  <c r="D32" i="12" s="1"/>
  <c r="D30" i="12"/>
  <c r="B29" i="12"/>
  <c r="D29" i="12" s="1"/>
  <c r="B42" i="12"/>
  <c r="B28" i="117"/>
  <c r="D28" i="117" s="1"/>
  <c r="B31" i="117"/>
  <c r="D31" i="117" s="1"/>
  <c r="B39" i="117"/>
  <c r="D39" i="117" s="1"/>
  <c r="B32" i="117"/>
  <c r="D32" i="117" s="1"/>
  <c r="B24" i="117"/>
  <c r="D24" i="117" s="1"/>
  <c r="B22" i="117"/>
  <c r="D22" i="117" s="1"/>
  <c r="B20" i="117"/>
  <c r="D20" i="117" s="1"/>
  <c r="E74" i="117"/>
  <c r="F74" i="117" s="1"/>
  <c r="B57" i="117"/>
  <c r="D57" i="117" s="1"/>
  <c r="B54" i="117"/>
  <c r="D54" i="117" s="1"/>
  <c r="B52" i="117"/>
  <c r="D52" i="117" s="1"/>
  <c r="B23" i="117"/>
  <c r="D23" i="117" s="1"/>
  <c r="B19" i="117"/>
  <c r="D19" i="117" s="1"/>
  <c r="F79" i="100"/>
  <c r="G79" i="100" s="1"/>
  <c r="D33" i="91"/>
  <c r="B37" i="91"/>
  <c r="D37" i="91" s="1"/>
  <c r="D32" i="73"/>
  <c r="B36" i="73"/>
  <c r="D36" i="73" s="1"/>
  <c r="B55" i="71"/>
  <c r="D55" i="71" s="1"/>
  <c r="B51" i="71"/>
  <c r="D51" i="71" s="1"/>
  <c r="B56" i="71"/>
  <c r="D56" i="71" s="1"/>
  <c r="G79" i="52"/>
  <c r="B42" i="52"/>
  <c r="D42" i="52" s="1"/>
  <c r="D33" i="52"/>
  <c r="B20" i="52"/>
  <c r="D20" i="52" s="1"/>
  <c r="B40" i="47"/>
  <c r="D40" i="47" s="1"/>
  <c r="B25" i="47"/>
  <c r="D25" i="47" s="1"/>
  <c r="B22" i="47"/>
  <c r="D22" i="47" s="1"/>
  <c r="B23" i="47"/>
  <c r="D23" i="47" s="1"/>
  <c r="B38" i="47"/>
  <c r="D38" i="47" s="1"/>
  <c r="B54" i="47"/>
  <c r="D54" i="47" s="1"/>
  <c r="B57" i="18"/>
  <c r="D57" i="18" s="1"/>
  <c r="B33" i="18"/>
  <c r="D33" i="18" s="1"/>
  <c r="D54" i="18"/>
  <c r="F74" i="18"/>
  <c r="G74" i="18" s="1"/>
  <c r="D45" i="28"/>
  <c r="B37" i="28"/>
  <c r="D37" i="28" s="1"/>
  <c r="D42" i="28"/>
  <c r="B54" i="28"/>
  <c r="D54" i="28" s="1"/>
  <c r="B52" i="28"/>
  <c r="D52" i="28" s="1"/>
  <c r="B36" i="28"/>
  <c r="D36" i="28" s="1"/>
  <c r="D56" i="12"/>
  <c r="B53" i="12"/>
  <c r="D53" i="12" s="1"/>
  <c r="B41" i="12"/>
  <c r="D41" i="12" s="1"/>
  <c r="B52" i="12"/>
  <c r="D52" i="12" s="1"/>
  <c r="B36" i="12"/>
  <c r="D36" i="12" s="1"/>
  <c r="B46" i="12"/>
  <c r="D46" i="12" s="1"/>
  <c r="B45" i="22"/>
  <c r="D45" i="22" s="1"/>
  <c r="B30" i="22"/>
  <c r="D30" i="22" s="1"/>
  <c r="B51" i="22"/>
  <c r="D51" i="22" s="1"/>
  <c r="B40" i="22"/>
  <c r="D47" i="22"/>
  <c r="B23" i="22"/>
  <c r="D23" i="22" s="1"/>
  <c r="B21" i="22"/>
  <c r="D21" i="22" s="1"/>
  <c r="B29" i="22"/>
  <c r="D29" i="22" s="1"/>
  <c r="B34" i="22"/>
  <c r="D34" i="22" s="1"/>
  <c r="B28" i="22"/>
  <c r="D28" i="22" s="1"/>
  <c r="B20" i="22"/>
  <c r="D20" i="22" s="1"/>
  <c r="B52" i="22"/>
  <c r="D52" i="22" s="1"/>
  <c r="D38" i="22"/>
  <c r="B54" i="22"/>
  <c r="D54" i="22" s="1"/>
  <c r="B48" i="22"/>
  <c r="D48" i="22" s="1"/>
  <c r="B63" i="52"/>
  <c r="B52" i="52"/>
  <c r="D52" i="52" s="1"/>
  <c r="G77" i="47"/>
  <c r="B58" i="18"/>
  <c r="D58" i="18" s="1"/>
  <c r="B50" i="22"/>
  <c r="D50" i="22" s="1"/>
  <c r="B31" i="22"/>
  <c r="B56" i="28"/>
  <c r="D56" i="28" s="1"/>
  <c r="D50" i="28"/>
  <c r="B58" i="47"/>
  <c r="D58" i="47" s="1"/>
  <c r="B31" i="47"/>
  <c r="D31" i="47" s="1"/>
  <c r="B60" i="52"/>
  <c r="D60" i="52" s="1"/>
  <c r="B56" i="52"/>
  <c r="D56" i="52" s="1"/>
  <c r="D42" i="65"/>
  <c r="D35" i="65"/>
  <c r="B36" i="72"/>
  <c r="D36" i="72" s="1"/>
  <c r="D35" i="72"/>
  <c r="B53" i="18"/>
  <c r="D53" i="18" s="1"/>
  <c r="F75" i="18"/>
  <c r="G75" i="18" s="1"/>
  <c r="F73" i="18"/>
  <c r="D46" i="22"/>
  <c r="B37" i="72"/>
  <c r="D37" i="72" s="1"/>
  <c r="D33" i="72"/>
  <c r="F77" i="47"/>
  <c r="B55" i="47"/>
  <c r="F79" i="52"/>
  <c r="B57" i="52"/>
  <c r="D33" i="65"/>
  <c r="D60" i="73"/>
  <c r="B55" i="73"/>
  <c r="D55" i="73" s="1"/>
  <c r="D41" i="72"/>
  <c r="B31" i="72"/>
  <c r="D31" i="72" s="1"/>
  <c r="B54" i="71"/>
  <c r="D54" i="71" s="1"/>
  <c r="B48" i="71"/>
  <c r="D48" i="71" s="1"/>
  <c r="B26" i="47"/>
  <c r="D26" i="47" s="1"/>
  <c r="D37" i="65"/>
  <c r="B35" i="71"/>
  <c r="B21" i="71"/>
  <c r="D21" i="71" s="1"/>
  <c r="B44" i="71"/>
  <c r="B21" i="91"/>
  <c r="D21" i="91" s="1"/>
  <c r="D45" i="91" s="1"/>
  <c r="B25" i="91"/>
  <c r="D25" i="91" s="1"/>
  <c r="B29" i="92"/>
  <c r="D29" i="92" s="1"/>
  <c r="B36" i="92"/>
  <c r="D36" i="92" s="1"/>
  <c r="B33" i="92"/>
  <c r="D33" i="92" s="1"/>
  <c r="B18" i="123"/>
  <c r="D18" i="123" s="1"/>
  <c r="B25" i="117"/>
  <c r="D25" i="117" s="1"/>
  <c r="B39" i="47"/>
  <c r="D39" i="47" s="1"/>
  <c r="B33" i="71"/>
  <c r="D33" i="71" s="1"/>
  <c r="B31" i="71"/>
  <c r="D31" i="71" s="1"/>
  <c r="B47" i="72"/>
  <c r="D47" i="72" s="1"/>
  <c r="B29" i="72"/>
  <c r="D29" i="72" s="1"/>
  <c r="B32" i="72"/>
  <c r="D32" i="72" s="1"/>
  <c r="D33" i="73"/>
  <c r="B41" i="100"/>
  <c r="D41" i="100" s="1"/>
  <c r="B64" i="100"/>
  <c r="D64" i="100" s="1"/>
  <c r="F80" i="100"/>
  <c r="G80" i="100" s="1"/>
  <c r="G82" i="100" s="1"/>
  <c r="E73" i="117"/>
  <c r="F73" i="117" s="1"/>
  <c r="F75" i="117" s="1"/>
  <c r="B43" i="117"/>
  <c r="D43" i="117" s="1"/>
  <c r="B40" i="117"/>
  <c r="D40" i="117" s="1"/>
  <c r="B34" i="71"/>
  <c r="D34" i="71" s="1"/>
  <c r="B37" i="73"/>
  <c r="B25" i="100"/>
  <c r="D25" i="100" s="1"/>
  <c r="D71" i="100" s="1"/>
  <c r="B31" i="100"/>
  <c r="D31" i="100" s="1"/>
  <c r="B30" i="123"/>
  <c r="D30" i="123" s="1"/>
  <c r="B37" i="123"/>
  <c r="B26" i="52"/>
  <c r="D26" i="52" s="1"/>
  <c r="D40" i="22" l="1"/>
  <c r="D66" i="72"/>
  <c r="B38" i="28"/>
  <c r="D38" i="28" s="1"/>
  <c r="B33" i="28"/>
  <c r="D33" i="28" s="1"/>
  <c r="D67" i="28" s="1"/>
  <c r="D64" i="12"/>
  <c r="D64" i="117"/>
  <c r="E75" i="117"/>
  <c r="D37" i="92"/>
  <c r="D55" i="47"/>
  <c r="B56" i="47"/>
  <c r="D56" i="47" s="1"/>
  <c r="B36" i="71"/>
  <c r="D35" i="71"/>
  <c r="D57" i="52"/>
  <c r="B58" i="52"/>
  <c r="D58" i="52" s="1"/>
  <c r="F76" i="18"/>
  <c r="G73" i="18"/>
  <c r="G76" i="18" s="1"/>
  <c r="B61" i="47"/>
  <c r="B50" i="47"/>
  <c r="D50" i="47" s="1"/>
  <c r="D63" i="52"/>
  <c r="D49" i="52"/>
  <c r="B38" i="123"/>
  <c r="D38" i="123" s="1"/>
  <c r="D37" i="123"/>
  <c r="D37" i="73"/>
  <c r="B38" i="73"/>
  <c r="F82" i="100"/>
  <c r="B32" i="22"/>
  <c r="D31" i="22"/>
  <c r="B50" i="18" l="1"/>
  <c r="D50" i="18" s="1"/>
  <c r="B45" i="18"/>
  <c r="D45" i="18" s="1"/>
  <c r="B56" i="18"/>
  <c r="D56" i="18" s="1"/>
  <c r="B46" i="18"/>
  <c r="D68" i="52"/>
  <c r="D38" i="73"/>
  <c r="D68" i="73" s="1"/>
  <c r="B39" i="73"/>
  <c r="D39" i="73" s="1"/>
  <c r="B60" i="18"/>
  <c r="B49" i="18"/>
  <c r="D49" i="18" s="1"/>
  <c r="B37" i="71"/>
  <c r="D37" i="71" s="1"/>
  <c r="D36" i="71"/>
  <c r="B33" i="22"/>
  <c r="D33" i="22" s="1"/>
  <c r="D32" i="22"/>
  <c r="D61" i="47"/>
  <c r="D47" i="47"/>
  <c r="D66" i="47" s="1"/>
  <c r="D66" i="71" l="1"/>
  <c r="D63" i="22"/>
  <c r="D46" i="18"/>
  <c r="D60" i="18"/>
  <c r="D65" i="18" l="1"/>
</calcChain>
</file>

<file path=xl/sharedStrings.xml><?xml version="1.0" encoding="utf-8"?>
<sst xmlns="http://schemas.openxmlformats.org/spreadsheetml/2006/main" count="1562" uniqueCount="279">
  <si>
    <t>Кол-во</t>
  </si>
  <si>
    <t>Высота (м)</t>
  </si>
  <si>
    <t>Красные графы обязательны для заполнения!!!</t>
  </si>
  <si>
    <t>Цена</t>
  </si>
  <si>
    <t>Ширина (м)</t>
  </si>
  <si>
    <t>Товар (деталь)</t>
  </si>
  <si>
    <t>Сумма</t>
  </si>
  <si>
    <t>Итого</t>
  </si>
  <si>
    <t>Дополнительная комплектация</t>
  </si>
  <si>
    <t>Не изменять</t>
  </si>
  <si>
    <t>-</t>
  </si>
  <si>
    <t>0 - нет, 1 - да</t>
  </si>
  <si>
    <t>Колокольчик, шт.</t>
  </si>
  <si>
    <t xml:space="preserve">Количество отверстий, шт. </t>
  </si>
  <si>
    <t>Крепление</t>
  </si>
  <si>
    <t>Кронштейн ПВХ</t>
  </si>
  <si>
    <t>Профиль маскировочный 16мм, м</t>
  </si>
  <si>
    <t>Профиль натяжения 16х22, м</t>
  </si>
  <si>
    <t>Профиль стандартный 16х22, м</t>
  </si>
  <si>
    <t>Крышка д/профиля стандартного 16х22, шт.</t>
  </si>
  <si>
    <t>Крышка д/проф натяжного 16х22 к/п , шт.</t>
  </si>
  <si>
    <t>Суппорт, шт.</t>
  </si>
  <si>
    <t>Пружина в сборе для профиля натяжения, шт.</t>
  </si>
  <si>
    <t>Ручка, шт.</t>
  </si>
  <si>
    <t>Пластина монтажная для ручки, шт.</t>
  </si>
  <si>
    <t>Саморез, 2,9x6,5, шт.</t>
  </si>
  <si>
    <t>Кронштейн подоконный для шнура, шт.</t>
  </si>
  <si>
    <t>Прижим ткани, шт.</t>
  </si>
  <si>
    <t>Кронштейн на штапик</t>
  </si>
  <si>
    <t>Кронштейн потолочный плоский, овал. отв. 20мм</t>
  </si>
  <si>
    <t>Кронштейн стеновой стандарт. 20мм</t>
  </si>
  <si>
    <t>Кронштейн стеновой малый. 20мм</t>
  </si>
  <si>
    <t>Крышка кронштейна на штапик, шт.</t>
  </si>
  <si>
    <t>Кронштейн потолочный, овал, 20мм., шт.</t>
  </si>
  <si>
    <t>Опора кронштейна подоконного, шт.</t>
  </si>
  <si>
    <t>Кронштейн стеновой малый, шт.</t>
  </si>
  <si>
    <t>Гайка для стенового кронштейна, шт.</t>
  </si>
  <si>
    <t>Кронштейн стеновой стандарт, шт.</t>
  </si>
  <si>
    <t>Кронштейн стеновой стандарт в сборе 20 мм, шт.</t>
  </si>
  <si>
    <t>Кронштейн потолочный плоский, овал, 20мм, шт.</t>
  </si>
  <si>
    <t>Кронштейн на штапик, шт.</t>
  </si>
  <si>
    <t>Кронштейн на штапик для фиксатора, шт.(пара)</t>
  </si>
  <si>
    <t>Гайка M3 DIN934, шт.</t>
  </si>
  <si>
    <t>Саморез, 2,9x13, шт.</t>
  </si>
  <si>
    <t>Саморез, DIN7981 ZN 2.9x9.5, шт.</t>
  </si>
  <si>
    <t>Саморез, DIN7981 ZN 3.9x13, шт.</t>
  </si>
  <si>
    <t>Кронштейн ПВХ, шт.</t>
  </si>
  <si>
    <t>Удлинитель ручки 100см, шт.</t>
  </si>
  <si>
    <t>Удлинитель ручки, 150см, шт.</t>
  </si>
  <si>
    <t>Удлинитель ручки, 200см, шт.</t>
  </si>
  <si>
    <t>Упор установочный, красный, шт.</t>
  </si>
  <si>
    <t>Ключ шестигранный 1,5мм, шт.</t>
  </si>
  <si>
    <t>Шнур 0,8мм, м</t>
  </si>
  <si>
    <t>Длина управления, м</t>
  </si>
  <si>
    <t>Высота, м</t>
  </si>
  <si>
    <t>Ширина, м</t>
  </si>
  <si>
    <t>Фиксатор (правый или левый), шт.</t>
  </si>
  <si>
    <t>Количество изделий P1700, шт.</t>
  </si>
  <si>
    <t>Количество изделий P1705, шт.</t>
  </si>
  <si>
    <t>Суммарное количество изделий</t>
  </si>
  <si>
    <t>Расчет стоимости P170x</t>
  </si>
  <si>
    <t>Крышка д/проф стандатного 16х22 с направл., шт.</t>
  </si>
  <si>
    <t>Крышка д/проф натяжного 16х22 с направл., шт.</t>
  </si>
  <si>
    <t>Фиксатор левый, 22мм, с направл. (правый или левый), шт.</t>
  </si>
  <si>
    <t>Шнур 1,2мм, м</t>
  </si>
  <si>
    <t>Пружина 0,4х44</t>
  </si>
  <si>
    <t>1 изд</t>
  </si>
  <si>
    <t>Дополнительная комплектация (для P1705)</t>
  </si>
  <si>
    <t>Крышка д/проф плоского 10х20 откр, шт.</t>
  </si>
  <si>
    <t>опоры</t>
  </si>
  <si>
    <t>Кол-во крепежа</t>
  </si>
  <si>
    <t>Расчет стоимости P160x</t>
  </si>
  <si>
    <t>Количество изделий P1600, шт.</t>
  </si>
  <si>
    <t>Количество изделий P1602, шт.</t>
  </si>
  <si>
    <t>потол</t>
  </si>
  <si>
    <t>Расчет стоимости P161x</t>
  </si>
  <si>
    <t>Количество изделий P1610, шт.</t>
  </si>
  <si>
    <t>Количество изделий P1612, шт.</t>
  </si>
  <si>
    <t>Кроме
P1612</t>
  </si>
  <si>
    <t>Только
P1600</t>
  </si>
  <si>
    <t>Расчет стоимости P162x</t>
  </si>
  <si>
    <t>Количество изделий P1620, шт.</t>
  </si>
  <si>
    <t>Количество изделий P1622, шт.</t>
  </si>
  <si>
    <t>Профиль центральный 8х22, м</t>
  </si>
  <si>
    <t>Крышка д/проф стандартного 16х22 с отверст, шт.</t>
  </si>
  <si>
    <t>Соединитель центрального профиля, шт.</t>
  </si>
  <si>
    <t>Пружина в сборе для профиля стандартного, шт.</t>
  </si>
  <si>
    <t>Полоса пластиковая самоклеящаяся 16мм, прозрачная</t>
  </si>
  <si>
    <t>Профиль плоский 10х20, м</t>
  </si>
  <si>
    <t>Количество изделий P1710, шт.</t>
  </si>
  <si>
    <t>Количество изделий P1715, шт.</t>
  </si>
  <si>
    <t>Фиксатор правый, шт.</t>
  </si>
  <si>
    <t>Фиксатор левый, шт.</t>
  </si>
  <si>
    <t>Суппорт верхний, шт.</t>
  </si>
  <si>
    <t>Крышка д/проф натяжного, шт.</t>
  </si>
  <si>
    <t>Фиксатор левый, 22мм, с направл. левый, шт.</t>
  </si>
  <si>
    <t>Фиксатор левый, 22мм, с направл. правый, шт.</t>
  </si>
  <si>
    <t>Расчет стоимости P171x</t>
  </si>
  <si>
    <t>Расчет стоимости P172x</t>
  </si>
  <si>
    <t>Количество изделий P1720, шт.</t>
  </si>
  <si>
    <t>Количество изделий P1725, шт.</t>
  </si>
  <si>
    <t>Крышка д/проф центрального 16х22, шт.</t>
  </si>
  <si>
    <t>Крышка д/проф центрального 16х22 с направляющей, шт.</t>
  </si>
  <si>
    <t>Расчет стоимости P10xx</t>
  </si>
  <si>
    <t>Количество изделий P1001, шт.</t>
  </si>
  <si>
    <t>Количество изделий P1082, шт.</t>
  </si>
  <si>
    <t>Расчет стоимости P262x</t>
  </si>
  <si>
    <t>Расчет стоимости P260x</t>
  </si>
  <si>
    <t>Количество изделий P2600, шт.</t>
  </si>
  <si>
    <t>Количество изделий P2602, шт.</t>
  </si>
  <si>
    <t>Крышка д/профиля стандартного с отверстием 16х22, шт.</t>
  </si>
  <si>
    <t>Направляющая шнура, шт</t>
  </si>
  <si>
    <t>Пружина 0,7х44</t>
  </si>
  <si>
    <t>Крышка д/проф натяжного 16х22 нат./мал., шт.</t>
  </si>
  <si>
    <t>Только
P2600</t>
  </si>
  <si>
    <t>Расчет стоимости P261x</t>
  </si>
  <si>
    <t>Количество изделий P2610, шт.</t>
  </si>
  <si>
    <t>Количество изделий P2612, шт.</t>
  </si>
  <si>
    <t>Кроме
P2612</t>
  </si>
  <si>
    <t>Количество изделий P2620, шт.</t>
  </si>
  <si>
    <t>Количество изделий P2622, шт.</t>
  </si>
  <si>
    <t>Крышка д/проф стандартного 16х22 с направляющей, шт.</t>
  </si>
  <si>
    <t>Крышка д/проф центр 16х22 с направляющей, шт.</t>
  </si>
  <si>
    <t>Крышка д/проф центр 16х22 с нат/напр шт.</t>
  </si>
  <si>
    <t>Крышка д/проф натяжного 16х22 с нат/мал, шт.</t>
  </si>
  <si>
    <t>Только для
P2620</t>
  </si>
  <si>
    <t>Крышка д/проф стандартного 16х22, шт.</t>
  </si>
  <si>
    <t>Крышка д/проф натяжного 16х22 с нат/мал. , шт.</t>
  </si>
  <si>
    <t>Расчет стоимости P3600</t>
  </si>
  <si>
    <t>Крышка д/профиля стандартного 16х22 с отверстием, шт.</t>
  </si>
  <si>
    <t>Крышка д/проф натяжного 16х22 с нат./мал., шт.</t>
  </si>
  <si>
    <t>Зажим троса, шт.</t>
  </si>
  <si>
    <t>Натяжитель троса</t>
  </si>
  <si>
    <t>Количество изделий, шт.</t>
  </si>
  <si>
    <t>Кронштейн потолочный спец, овал, 20мм., шт.</t>
  </si>
  <si>
    <t>Винт M3x6, шт.</t>
  </si>
  <si>
    <t>Кронштейн потолочный</t>
  </si>
  <si>
    <t>Кронштейн потолочный/ Подоконный (2615)</t>
  </si>
  <si>
    <t>Кронштейн потолочный/ Подоконный (1615)</t>
  </si>
  <si>
    <t>Трос 0,8 мм</t>
  </si>
  <si>
    <t>Расчет стоимости P3700</t>
  </si>
  <si>
    <t>Фиксатор, 22мм, без щелчка (левый или правый)</t>
  </si>
  <si>
    <t>Крышка д/проф стандатного 16х22 с отверстием, шт.</t>
  </si>
  <si>
    <t>Груз шнура, шт.</t>
  </si>
  <si>
    <t>Натяжитель шнура для профиля натяжения</t>
  </si>
  <si>
    <t>Кронштейн потолочный, спец., овал, 20мм., шт.</t>
  </si>
  <si>
    <t>Количество изделий P1702, шт.</t>
  </si>
  <si>
    <t>Количество изделий P1712, шт.</t>
  </si>
  <si>
    <t>Количество изделий P1615, шт.</t>
  </si>
  <si>
    <t>Количество изделий P1626, шт.</t>
  </si>
  <si>
    <t>Количество изделий P1722, шт.</t>
  </si>
  <si>
    <t>Количество изделий P1086, шт.</t>
  </si>
  <si>
    <t>Количество изделий P2615, шт.</t>
  </si>
  <si>
    <t>Количество изделий P2626, шт.</t>
  </si>
  <si>
    <t>Расчет стоимости P180x</t>
  </si>
  <si>
    <t>Количество изделий P1800, шт.</t>
  </si>
  <si>
    <t>Количество изделий P1802, шт.</t>
  </si>
  <si>
    <t>Количество изделий P1805, шт.</t>
  </si>
  <si>
    <t>Профиль под мотор 34х27</t>
  </si>
  <si>
    <t>Стержень поворотный шестигранный (ГКС), 5мм (Venus)</t>
  </si>
  <si>
    <t>Вставка в профиль под мотор</t>
  </si>
  <si>
    <t>Механизм цепочный, комплект</t>
  </si>
  <si>
    <t>Редуктор ЗОМФИ CD25- 1:2,6</t>
  </si>
  <si>
    <t>Редуктор ЗОМФИ CD25- 1:4,8</t>
  </si>
  <si>
    <t>SOMFY CTS 25 шнуронамотка 110мм</t>
  </si>
  <si>
    <t>SOMFY CTS 25 шнуронамотка 70мм</t>
  </si>
  <si>
    <t>Зажим для мотора</t>
  </si>
  <si>
    <t>Адаптер вала, 5мм</t>
  </si>
  <si>
    <t>Крышка д/проф под мотор 34х27, шт.</t>
  </si>
  <si>
    <t>Крышка д/проф натяжного 16х22, шт.</t>
  </si>
  <si>
    <t>Зажим на вал, шт</t>
  </si>
  <si>
    <t>Цепь (петля), 100см, шт.</t>
  </si>
  <si>
    <t>Цепь (петля), 70см, шт.</t>
  </si>
  <si>
    <t>Цепь (петля), 150см, шт.</t>
  </si>
  <si>
    <t>Цепь (петля), 180см, шт.</t>
  </si>
  <si>
    <t>Цепь (петля), 210см, шт.</t>
  </si>
  <si>
    <t>Цепь (петля), 250см, шт.</t>
  </si>
  <si>
    <t>Цепь (петля), 310см, шт.</t>
  </si>
  <si>
    <t>Выбор вручную</t>
  </si>
  <si>
    <t>Кронштейн потолочный, овал, 27мм, шт.</t>
  </si>
  <si>
    <t>Кронштейн стеновой малый</t>
  </si>
  <si>
    <t>Кронштейн стеновой стандартный</t>
  </si>
  <si>
    <t>Кронштейн стеновой стандарт в сборе 27 мм, шт.</t>
  </si>
  <si>
    <t>Механизм цепочный с направляющей, комплект</t>
  </si>
  <si>
    <t>Крышка д/проф под мотор 34х27 с напр., шт.</t>
  </si>
  <si>
    <t>Крышка д/проф натяжного 16х22 с направляющей, шт.</t>
  </si>
  <si>
    <t>Количество изделий P1900, шт.</t>
  </si>
  <si>
    <t>Количество изделий P1902, шт.</t>
  </si>
  <si>
    <t>Количество изделий P1905, шт.</t>
  </si>
  <si>
    <t>Привод LW 25 В 83 24VDC 0.8/30 серединный</t>
  </si>
  <si>
    <t>Приемник, передатчик, блок питания и т.п. 
подбираются дополнительно и всегда индивидуально</t>
  </si>
  <si>
    <t>Привод LW 25 В 44 24VDC 0.4/40 серединный</t>
  </si>
  <si>
    <t>Расчет стоимости P190x</t>
  </si>
  <si>
    <t>Дополнительная комплектация (для P1905)</t>
  </si>
  <si>
    <t>Дополнительная комплектация (для P1805)</t>
  </si>
  <si>
    <t>Расчет стоимости P390x</t>
  </si>
  <si>
    <t>Шпиндельная блокировка конеч отключ привода AMS 25</t>
  </si>
  <si>
    <t>Колокольчик</t>
  </si>
  <si>
    <t>Крючок для люверса (Для P1082 и P1086)</t>
  </si>
  <si>
    <t>Люверс (Для P1082 и P1086)</t>
  </si>
  <si>
    <t>Только для
P1600</t>
  </si>
  <si>
    <t>Шайба для опоры, шт.</t>
  </si>
  <si>
    <t>Саморез, 3,9x6,5, шт.</t>
  </si>
  <si>
    <t>Расчет стоимости P461x</t>
  </si>
  <si>
    <t>Количество изделий P4612, шт.</t>
  </si>
  <si>
    <t>Количество изделий P4615, шт.</t>
  </si>
  <si>
    <t>Профиль ручной 16мм, белый</t>
  </si>
  <si>
    <t>Профиль маскировочный 14мм, белый</t>
  </si>
  <si>
    <t>Крышка боковая 16мм, пара, белая</t>
  </si>
  <si>
    <t>Суппорт 16мм</t>
  </si>
  <si>
    <t>Профиль с клейкой лентой 16мм, белый</t>
  </si>
  <si>
    <t>Крышка для профиля с клейкой лентой 16мм, белая</t>
  </si>
  <si>
    <t>Кронштейн подоконный для шнура 2</t>
  </si>
  <si>
    <t>Веревка, белая, 2.0 мм</t>
  </si>
  <si>
    <t>Полоса пластиковая самоклеящаяся 12мм, прозрачная</t>
  </si>
  <si>
    <t>Расчет стоимости P870x</t>
  </si>
  <si>
    <t>Количество изделий P8700, шт.</t>
  </si>
  <si>
    <t>Количество изделий P8705, шт.</t>
  </si>
  <si>
    <t>Кронштейн потолочный 48 мм</t>
  </si>
  <si>
    <t>Кронштейн стеновой в сборе 48мм, белый</t>
  </si>
  <si>
    <t>Кронштейн стеновой рег. 60-108 мм, 48мм, белый</t>
  </si>
  <si>
    <t>Кронштейн стеновой рег. 108-156 мм, 48мм, белый</t>
  </si>
  <si>
    <t>Кронштейн стеновой рег. 156-204 мм, 48мм, белый</t>
  </si>
  <si>
    <t>Профиль верхний 48 мм, м</t>
  </si>
  <si>
    <t>Профиль нижний 48 мм, м</t>
  </si>
  <si>
    <t>Профиль базовый 32 мм, м</t>
  </si>
  <si>
    <t>Фиксатор веревки 48мм, левый, белый</t>
  </si>
  <si>
    <t>Крышка боковая 48мм, белая</t>
  </si>
  <si>
    <t>Фиксатор веревки 48мм, левый или правый, белый</t>
  </si>
  <si>
    <t>Лента клейкая 32мм, м</t>
  </si>
  <si>
    <t>Соединитель профиля 48мм</t>
  </si>
  <si>
    <t>Натяжитель шнура 48мм</t>
  </si>
  <si>
    <t>Кронштейн для шнура с петлями 48мм стандартный</t>
  </si>
  <si>
    <t>Шуруп для шнура с петлей 48мм</t>
  </si>
  <si>
    <t>Шнур с петлями 48мм</t>
  </si>
  <si>
    <t>Кронштейн подоконный 48мм, комплект, белый</t>
  </si>
  <si>
    <t>Кронштейн потолочный 48мм, белый</t>
  </si>
  <si>
    <t>Расчет стоимости P871x</t>
  </si>
  <si>
    <t>Зажим троса</t>
  </si>
  <si>
    <t>Количество изделий P8710, шт.</t>
  </si>
  <si>
    <t>Количество изделий P8715, шт.</t>
  </si>
  <si>
    <t>Фиксатор веревки 48мм, правый, белый</t>
  </si>
  <si>
    <t>Расчет стоимости P872x</t>
  </si>
  <si>
    <t>Количество изделий P8720, шт.</t>
  </si>
  <si>
    <t>Количество изделий P8725, шт.</t>
  </si>
  <si>
    <t>Профиль центральный 48 мм, м</t>
  </si>
  <si>
    <t>Расчет стоимости P880x</t>
  </si>
  <si>
    <t>Количество изделий P8800, шт.</t>
  </si>
  <si>
    <t>Количество изделий P8805, шт.</t>
  </si>
  <si>
    <t>Профиль под мотор 48 мм, м</t>
  </si>
  <si>
    <t>Стержень поворотный шестигранный (ГКС), 5мм</t>
  </si>
  <si>
    <t>Механизм цепочный 48мм, левый или правый, белый</t>
  </si>
  <si>
    <t>Крышка боковая под мотор 48мм, белая</t>
  </si>
  <si>
    <t>Адаптер вала</t>
  </si>
  <si>
    <t>Зажим на вал</t>
  </si>
  <si>
    <t xml:space="preserve">Тип ткани </t>
  </si>
  <si>
    <t>1 - плиссе; 2 - гофре</t>
  </si>
  <si>
    <t>Расчет стоимости P881x</t>
  </si>
  <si>
    <t>Количество изделий P8810, шт.</t>
  </si>
  <si>
    <t>Количество изделий P8815, шт.</t>
  </si>
  <si>
    <t>Держатель шнура плиссе 48мм</t>
  </si>
  <si>
    <t>Высота большая, м</t>
  </si>
  <si>
    <t>Высота малая, м</t>
  </si>
  <si>
    <t>Количество изделий P1751, шт.</t>
  </si>
  <si>
    <t>Количество изделий P1753, шт.</t>
  </si>
  <si>
    <t>Расчет стоимости P175x</t>
  </si>
  <si>
    <t>Длина уклона, м</t>
  </si>
  <si>
    <t>Фиксатор универсальный 22мм, наклонный, шт.</t>
  </si>
  <si>
    <t>Кронштейн угловой</t>
  </si>
  <si>
    <t>Натяжитель шнура для профиля стандартного</t>
  </si>
  <si>
    <t>Фиксатор 22мм, наклонный, правый,  шт.</t>
  </si>
  <si>
    <t>Фиксатор 22мм, наклонный, левый, шт.</t>
  </si>
  <si>
    <t>Держатель шнура, шт</t>
  </si>
  <si>
    <t>Шарнир угловой длинный, шт</t>
  </si>
  <si>
    <t>Шарнир угловой короткий, шт</t>
  </si>
  <si>
    <t>Фиксатор левый, 22мм, шт</t>
  </si>
  <si>
    <t>Фиксатор правый, 22мм, шт</t>
  </si>
  <si>
    <t>\</t>
  </si>
  <si>
    <t>Шнур с петлями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</si>
</sst>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263">
    <xf numFmtId="0" fontId="0" fillId="0" borderId="0" xfId="0" applyAlignment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/>
    <xf numFmtId="0" fontId="5" fillId="3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9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Alignment="1"/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0" borderId="23" xfId="0" applyFont="1" applyBorder="1" applyAlignment="1">
      <alignment wrapText="1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16" xfId="0" applyFill="1" applyBorder="1" applyAlignment="1"/>
    <xf numFmtId="0" fontId="1" fillId="0" borderId="16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7" xfId="0" applyFill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0" borderId="12" xfId="0" applyBorder="1" applyAlignment="1"/>
    <xf numFmtId="0" fontId="0" fillId="4" borderId="2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2" xfId="0" applyFont="1" applyBorder="1" applyAlignment="1">
      <alignment wrapText="1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0" xfId="0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/>
    </xf>
    <xf numFmtId="0" fontId="0" fillId="0" borderId="2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0" fillId="4" borderId="32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26" xfId="0" applyBorder="1" applyAlignment="1">
      <alignment vertical="top" wrapText="1"/>
    </xf>
    <xf numFmtId="0" fontId="1" fillId="0" borderId="27" xfId="0" applyFont="1" applyFill="1" applyBorder="1" applyAlignment="1">
      <alignment horizontal="center"/>
    </xf>
    <xf numFmtId="0" fontId="0" fillId="0" borderId="27" xfId="0" applyFill="1" applyBorder="1" applyAlignment="1"/>
    <xf numFmtId="0" fontId="0" fillId="0" borderId="50" xfId="0" applyFill="1" applyBorder="1" applyAlignment="1">
      <alignment horizontal="center"/>
    </xf>
    <xf numFmtId="0" fontId="7" fillId="2" borderId="3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46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center"/>
    </xf>
    <xf numFmtId="0" fontId="0" fillId="0" borderId="41" xfId="0" applyFill="1" applyBorder="1" applyAlignment="1"/>
    <xf numFmtId="0" fontId="0" fillId="0" borderId="2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4" borderId="39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4" borderId="55" xfId="0" applyFont="1" applyFill="1" applyBorder="1" applyAlignment="1">
      <alignment horizontal="center" wrapText="1"/>
    </xf>
    <xf numFmtId="0" fontId="4" fillId="4" borderId="56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35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2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 wrapText="1"/>
    </xf>
    <xf numFmtId="0" fontId="0" fillId="0" borderId="42" xfId="0" applyFill="1" applyBorder="1" applyAlignment="1">
      <alignment horizontal="center"/>
    </xf>
    <xf numFmtId="0" fontId="4" fillId="0" borderId="24" xfId="0" applyFon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2" fillId="0" borderId="4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4" fillId="4" borderId="27" xfId="0" applyFont="1" applyFill="1" applyBorder="1" applyAlignment="1">
      <alignment horizontal="center" wrapText="1"/>
    </xf>
    <xf numFmtId="0" fontId="4" fillId="4" borderId="50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4" fillId="0" borderId="27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3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 textRotation="90"/>
    </xf>
    <xf numFmtId="0" fontId="4" fillId="4" borderId="52" xfId="0" applyFont="1" applyFill="1" applyBorder="1" applyAlignment="1">
      <alignment horizontal="center" vertical="center" textRotation="90"/>
    </xf>
    <xf numFmtId="0" fontId="4" fillId="4" borderId="32" xfId="0" applyFont="1" applyFill="1" applyBorder="1" applyAlignment="1">
      <alignment horizontal="center" vertical="center" textRotation="90"/>
    </xf>
    <xf numFmtId="0" fontId="0" fillId="0" borderId="35" xfId="0" applyBorder="1" applyAlignment="1">
      <alignment horizontal="center"/>
    </xf>
    <xf numFmtId="0" fontId="4" fillId="4" borderId="23" xfId="0" applyFont="1" applyFill="1" applyBorder="1" applyAlignment="1">
      <alignment horizontal="center" vertical="top" wrapText="1"/>
    </xf>
    <xf numFmtId="0" fontId="4" fillId="4" borderId="53" xfId="0" applyFont="1" applyFill="1" applyBorder="1" applyAlignment="1">
      <alignment horizontal="center" vertical="top" wrapText="1"/>
    </xf>
    <xf numFmtId="0" fontId="4" fillId="4" borderId="51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15" zoomScaleNormal="100" workbookViewId="0">
      <selection activeCell="A37" sqref="A37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0.5" bestFit="1" customWidth="1"/>
  </cols>
  <sheetData>
    <row r="1" spans="1:5" ht="27" thickBot="1" x14ac:dyDescent="0.45">
      <c r="A1" s="165" t="s">
        <v>71</v>
      </c>
      <c r="B1" s="166"/>
      <c r="C1" s="166"/>
      <c r="D1" s="166"/>
    </row>
    <row r="2" spans="1:5" ht="15" thickBot="1" x14ac:dyDescent="0.25">
      <c r="A2" s="167" t="s">
        <v>2</v>
      </c>
      <c r="B2" s="168"/>
      <c r="C2" s="168"/>
      <c r="D2" s="169"/>
    </row>
    <row r="3" spans="1:5" x14ac:dyDescent="0.2">
      <c r="A3" s="120" t="s">
        <v>4</v>
      </c>
      <c r="B3" s="4">
        <v>1.5</v>
      </c>
      <c r="C3" s="170" t="s">
        <v>10</v>
      </c>
      <c r="D3" s="171"/>
    </row>
    <row r="4" spans="1:5" ht="12" thickBot="1" x14ac:dyDescent="0.25">
      <c r="A4" s="121" t="s">
        <v>1</v>
      </c>
      <c r="B4" s="21">
        <v>1</v>
      </c>
      <c r="C4" s="172" t="s">
        <v>10</v>
      </c>
      <c r="D4" s="173"/>
    </row>
    <row r="5" spans="1:5" x14ac:dyDescent="0.2">
      <c r="A5" s="122" t="s">
        <v>72</v>
      </c>
      <c r="B5" s="43">
        <v>1</v>
      </c>
      <c r="C5" s="153" t="s">
        <v>10</v>
      </c>
      <c r="D5" s="154"/>
    </row>
    <row r="6" spans="1:5" ht="12" thickBot="1" x14ac:dyDescent="0.25">
      <c r="A6" s="123" t="s">
        <v>73</v>
      </c>
      <c r="B6" s="129">
        <v>0</v>
      </c>
      <c r="C6" s="177" t="s">
        <v>10</v>
      </c>
      <c r="D6" s="178"/>
    </row>
    <row r="7" spans="1:5" ht="12" thickBot="1" x14ac:dyDescent="0.25">
      <c r="A7" s="124" t="s">
        <v>278</v>
      </c>
      <c r="B7" s="128">
        <v>0</v>
      </c>
      <c r="C7" s="155" t="s">
        <v>11</v>
      </c>
      <c r="D7" s="156"/>
    </row>
    <row r="8" spans="1:5" ht="12" thickBot="1" x14ac:dyDescent="0.25">
      <c r="A8" s="179" t="s">
        <v>136</v>
      </c>
      <c r="B8" s="179"/>
      <c r="C8" s="179"/>
      <c r="D8" s="179"/>
    </row>
    <row r="9" spans="1:5" x14ac:dyDescent="0.2">
      <c r="A9" s="125" t="s">
        <v>136</v>
      </c>
      <c r="B9" s="29">
        <v>0</v>
      </c>
      <c r="C9" s="180" t="s">
        <v>11</v>
      </c>
      <c r="D9" s="154"/>
    </row>
    <row r="10" spans="1:5" x14ac:dyDescent="0.2">
      <c r="A10" s="126" t="s">
        <v>31</v>
      </c>
      <c r="B10" s="28">
        <v>1</v>
      </c>
      <c r="C10" s="183" t="s">
        <v>11</v>
      </c>
      <c r="D10" s="184"/>
    </row>
    <row r="11" spans="1:5" x14ac:dyDescent="0.2">
      <c r="A11" s="126" t="s">
        <v>30</v>
      </c>
      <c r="B11" s="24">
        <v>0</v>
      </c>
      <c r="C11" s="181" t="s">
        <v>11</v>
      </c>
      <c r="D11" s="182"/>
    </row>
    <row r="12" spans="1:5" x14ac:dyDescent="0.2">
      <c r="A12" s="126" t="s">
        <v>28</v>
      </c>
      <c r="B12" s="28">
        <v>0</v>
      </c>
      <c r="C12" s="183" t="s">
        <v>11</v>
      </c>
      <c r="D12" s="184"/>
    </row>
    <row r="13" spans="1:5" ht="12" thickBot="1" x14ac:dyDescent="0.25">
      <c r="A13" s="127" t="s">
        <v>15</v>
      </c>
      <c r="B13" s="30">
        <v>0</v>
      </c>
      <c r="C13" s="151" t="s">
        <v>11</v>
      </c>
      <c r="D13" s="152"/>
    </row>
    <row r="14" spans="1:5" ht="12" thickBot="1" x14ac:dyDescent="0.25">
      <c r="A14" s="187"/>
      <c r="B14" s="188"/>
      <c r="C14" s="188"/>
      <c r="D14" s="189"/>
    </row>
    <row r="15" spans="1:5" x14ac:dyDescent="0.2">
      <c r="A15" s="32" t="s">
        <v>13</v>
      </c>
      <c r="B15" s="33">
        <f>CEILING((B3-0.1)/0.4,1)+1</f>
        <v>5</v>
      </c>
      <c r="C15" s="149" t="s">
        <v>9</v>
      </c>
      <c r="D15" s="150"/>
      <c r="E15" s="15"/>
    </row>
    <row r="16" spans="1:5" ht="12" thickBot="1" x14ac:dyDescent="0.25">
      <c r="A16" s="34" t="s">
        <v>59</v>
      </c>
      <c r="B16" s="35">
        <f>SUM(B5:B6)</f>
        <v>1</v>
      </c>
      <c r="C16" s="185" t="s">
        <v>9</v>
      </c>
      <c r="D16" s="186"/>
      <c r="E16" s="15"/>
    </row>
    <row r="17" spans="1:5" ht="12" thickBot="1" x14ac:dyDescent="0.25"/>
    <row r="18" spans="1:5" ht="12.75" x14ac:dyDescent="0.2">
      <c r="A18" s="8" t="s">
        <v>5</v>
      </c>
      <c r="B18" s="25" t="s">
        <v>0</v>
      </c>
      <c r="C18" s="9" t="s">
        <v>3</v>
      </c>
      <c r="D18" s="10" t="s">
        <v>6</v>
      </c>
    </row>
    <row r="19" spans="1:5" x14ac:dyDescent="0.2">
      <c r="A19" s="26" t="s">
        <v>16</v>
      </c>
      <c r="B19" s="19">
        <f>(B3-0.06)*B16</f>
        <v>1.44</v>
      </c>
      <c r="C19" s="7"/>
      <c r="D19" s="1">
        <f t="shared" ref="D19:D63" si="0">B19*C19</f>
        <v>0</v>
      </c>
    </row>
    <row r="20" spans="1:5" x14ac:dyDescent="0.2">
      <c r="A20" s="26" t="s">
        <v>17</v>
      </c>
      <c r="B20" s="19">
        <f>(B3-0.007)*B16</f>
        <v>1.4930000000000001</v>
      </c>
      <c r="C20" s="7"/>
      <c r="D20" s="1">
        <f t="shared" si="0"/>
        <v>0</v>
      </c>
    </row>
    <row r="21" spans="1:5" x14ac:dyDescent="0.2">
      <c r="A21" s="26" t="s">
        <v>18</v>
      </c>
      <c r="B21" s="19">
        <f>(B3-0.007)*B16</f>
        <v>1.4930000000000001</v>
      </c>
      <c r="C21" s="7"/>
      <c r="D21" s="12">
        <f t="shared" si="0"/>
        <v>0</v>
      </c>
    </row>
    <row r="22" spans="1:5" x14ac:dyDescent="0.2">
      <c r="A22" s="26" t="s">
        <v>88</v>
      </c>
      <c r="B22" s="19">
        <f>(B3-0.007)*B6</f>
        <v>0</v>
      </c>
      <c r="C22" s="7"/>
      <c r="D22" s="12">
        <f t="shared" si="0"/>
        <v>0</v>
      </c>
    </row>
    <row r="23" spans="1:5" x14ac:dyDescent="0.2">
      <c r="A23" s="26" t="s">
        <v>87</v>
      </c>
      <c r="B23" s="19">
        <f>(B3-0.003)*B16*2</f>
        <v>2.9940000000000002</v>
      </c>
      <c r="C23" s="7"/>
      <c r="D23" s="12">
        <f t="shared" si="0"/>
        <v>0</v>
      </c>
    </row>
    <row r="24" spans="1:5" x14ac:dyDescent="0.2">
      <c r="A24" s="26" t="s">
        <v>19</v>
      </c>
      <c r="B24" s="19">
        <f>2*B5</f>
        <v>2</v>
      </c>
      <c r="C24" s="7"/>
      <c r="D24" s="12">
        <f t="shared" si="0"/>
        <v>0</v>
      </c>
    </row>
    <row r="25" spans="1:5" x14ac:dyDescent="0.2">
      <c r="A25" s="26" t="s">
        <v>62</v>
      </c>
      <c r="B25" s="19">
        <f>2*B6</f>
        <v>0</v>
      </c>
      <c r="C25" s="7"/>
      <c r="D25" s="12">
        <f t="shared" si="0"/>
        <v>0</v>
      </c>
    </row>
    <row r="26" spans="1:5" x14ac:dyDescent="0.2">
      <c r="A26" s="26" t="s">
        <v>20</v>
      </c>
      <c r="B26" s="19">
        <f>2*B5</f>
        <v>2</v>
      </c>
      <c r="C26" s="7"/>
      <c r="D26" s="12">
        <f t="shared" si="0"/>
        <v>0</v>
      </c>
    </row>
    <row r="27" spans="1:5" x14ac:dyDescent="0.2">
      <c r="A27" s="26" t="s">
        <v>61</v>
      </c>
      <c r="B27" s="19">
        <f>2*B6</f>
        <v>0</v>
      </c>
      <c r="C27" s="7"/>
      <c r="D27" s="12">
        <f t="shared" si="0"/>
        <v>0</v>
      </c>
    </row>
    <row r="28" spans="1:5" x14ac:dyDescent="0.2">
      <c r="A28" s="26" t="s">
        <v>68</v>
      </c>
      <c r="B28" s="19">
        <f>2*B6</f>
        <v>0</v>
      </c>
      <c r="C28" s="7"/>
      <c r="D28" s="12">
        <f t="shared" si="0"/>
        <v>0</v>
      </c>
    </row>
    <row r="29" spans="1:5" x14ac:dyDescent="0.2">
      <c r="A29" s="26" t="s">
        <v>21</v>
      </c>
      <c r="B29" s="19">
        <f>B15*2*B16</f>
        <v>10</v>
      </c>
      <c r="C29" s="7"/>
      <c r="D29" s="12">
        <f t="shared" si="0"/>
        <v>0</v>
      </c>
    </row>
    <row r="30" spans="1:5" x14ac:dyDescent="0.2">
      <c r="A30" s="26" t="s">
        <v>86</v>
      </c>
      <c r="B30" s="19">
        <f>(IF(B15&lt;=2,1,IF(AND(B15&gt;2,B15&lt;=4),2,4)))*B16</f>
        <v>4</v>
      </c>
      <c r="C30" s="7"/>
      <c r="D30" s="63">
        <f t="shared" si="0"/>
        <v>0</v>
      </c>
    </row>
    <row r="31" spans="1:5" x14ac:dyDescent="0.2">
      <c r="A31" s="26" t="s">
        <v>22</v>
      </c>
      <c r="B31" s="19">
        <f>2*B16</f>
        <v>2</v>
      </c>
      <c r="C31" s="7"/>
      <c r="D31" s="12">
        <f t="shared" si="0"/>
        <v>0</v>
      </c>
    </row>
    <row r="32" spans="1:5" x14ac:dyDescent="0.2">
      <c r="A32" s="20" t="s">
        <v>52</v>
      </c>
      <c r="B32" s="19">
        <f>(IF(B15&lt;=4,(B3+B4+0.05-0.1+0.2)*2+(B3+B4+0.2)*2,IF(B15=5,(2*B3+B4+0.05-0.1+0.2)*2+(B3+B4+0.2)*4,(2*B3+B4+0.05-0.1+0.2)*2+(B3+B4+0.2)*2+(((B3-0.1)*4/5+0.1)+B4+0.2)*2)))*B16</f>
        <v>19.100000000000001</v>
      </c>
      <c r="C32" s="7"/>
      <c r="D32" s="12">
        <f t="shared" si="0"/>
        <v>0</v>
      </c>
      <c r="E32" s="15"/>
    </row>
    <row r="33" spans="1:5" x14ac:dyDescent="0.2">
      <c r="A33" s="20" t="s">
        <v>23</v>
      </c>
      <c r="B33" s="19">
        <f>(IF(B3&lt;=0.8,1,2))*B16</f>
        <v>2</v>
      </c>
      <c r="C33" s="7"/>
      <c r="D33" s="12">
        <f>B33*C33</f>
        <v>0</v>
      </c>
      <c r="E33" s="15"/>
    </row>
    <row r="34" spans="1:5" x14ac:dyDescent="0.2">
      <c r="A34" s="26" t="s">
        <v>24</v>
      </c>
      <c r="B34" s="19">
        <f>B33</f>
        <v>2</v>
      </c>
      <c r="C34" s="7"/>
      <c r="D34" s="12">
        <f t="shared" si="0"/>
        <v>0</v>
      </c>
    </row>
    <row r="35" spans="1:5" x14ac:dyDescent="0.2">
      <c r="A35" s="26" t="s">
        <v>25</v>
      </c>
      <c r="B35" s="19">
        <f>B34</f>
        <v>2</v>
      </c>
      <c r="C35" s="7"/>
      <c r="D35" s="12">
        <f t="shared" si="0"/>
        <v>0</v>
      </c>
    </row>
    <row r="36" spans="1:5" x14ac:dyDescent="0.2">
      <c r="A36" s="26" t="s">
        <v>26</v>
      </c>
      <c r="B36" s="19">
        <f>(IF(B3&lt;=0.279,2,4))*B16</f>
        <v>4</v>
      </c>
      <c r="C36" s="7"/>
      <c r="D36" s="12">
        <f t="shared" si="0"/>
        <v>0</v>
      </c>
    </row>
    <row r="37" spans="1:5" ht="12" thickBot="1" x14ac:dyDescent="0.25">
      <c r="A37" s="130" t="s">
        <v>278</v>
      </c>
      <c r="B37" s="131">
        <f>IF(B7=1,B4*2*B16,0)</f>
        <v>0</v>
      </c>
      <c r="C37" s="132"/>
      <c r="D37" s="133">
        <f t="shared" si="0"/>
        <v>0</v>
      </c>
    </row>
    <row r="38" spans="1:5" ht="12.75" x14ac:dyDescent="0.2">
      <c r="A38" s="174" t="s">
        <v>14</v>
      </c>
      <c r="B38" s="175"/>
      <c r="C38" s="175"/>
      <c r="D38" s="176"/>
    </row>
    <row r="39" spans="1:5" x14ac:dyDescent="0.2">
      <c r="A39" s="26" t="s">
        <v>34</v>
      </c>
      <c r="B39" s="16">
        <f>IF(B9=1,2*B5,IF(B13=1,2*B5,IF(B10=1,2*B5,IF(B11=1,2*B5,0))))</f>
        <v>2</v>
      </c>
      <c r="C39" s="7"/>
      <c r="D39" s="12">
        <f t="shared" si="0"/>
        <v>0</v>
      </c>
      <c r="E39" s="15"/>
    </row>
    <row r="40" spans="1:5" x14ac:dyDescent="0.2">
      <c r="A40" s="26" t="s">
        <v>201</v>
      </c>
      <c r="B40" s="16">
        <f>IF(B9=1,2*B5,IF(B10=1,2*B5,IF(B11=1,2*B5,0)))</f>
        <v>2</v>
      </c>
      <c r="C40" s="7"/>
      <c r="D40" s="62">
        <f t="shared" ref="D40" si="1">B40*C40</f>
        <v>0</v>
      </c>
      <c r="E40" s="15"/>
    </row>
    <row r="41" spans="1:5" x14ac:dyDescent="0.2">
      <c r="A41" s="26" t="s">
        <v>35</v>
      </c>
      <c r="B41" s="16">
        <f>IF(B10=1,(B15+2)*B16,0)</f>
        <v>7</v>
      </c>
      <c r="C41" s="7"/>
      <c r="D41" s="12">
        <f t="shared" si="0"/>
        <v>0</v>
      </c>
      <c r="E41" s="15"/>
    </row>
    <row r="42" spans="1:5" x14ac:dyDescent="0.2">
      <c r="A42" s="26" t="s">
        <v>36</v>
      </c>
      <c r="B42" s="16">
        <f>IF(B10=1,B15*B6*2+B15*B5,0)</f>
        <v>5</v>
      </c>
      <c r="C42" s="7"/>
      <c r="D42" s="12">
        <f>B56*C42</f>
        <v>0</v>
      </c>
    </row>
    <row r="43" spans="1:5" x14ac:dyDescent="0.2">
      <c r="A43" s="26" t="s">
        <v>37</v>
      </c>
      <c r="B43" s="16">
        <f>IF(B11=1,2*B5,0)</f>
        <v>0</v>
      </c>
      <c r="C43" s="7"/>
      <c r="D43" s="12">
        <f t="shared" si="0"/>
        <v>0</v>
      </c>
    </row>
    <row r="44" spans="1:5" x14ac:dyDescent="0.2">
      <c r="A44" s="26" t="s">
        <v>38</v>
      </c>
      <c r="B44" s="16">
        <f>IF(B11=1,B15*B5+B15*B6*2,0)</f>
        <v>0</v>
      </c>
      <c r="C44" s="7"/>
      <c r="D44" s="12">
        <f>B44*C44</f>
        <v>0</v>
      </c>
    </row>
    <row r="45" spans="1:5" x14ac:dyDescent="0.2">
      <c r="A45" s="26" t="s">
        <v>39</v>
      </c>
      <c r="B45" s="16">
        <f>IF(B9=1,B15*B5+B15*B6*2,IF(B10=1,0,IF(B12=1,B15*B5+B15*B6*2,IF(B13=1,B15*B5+B15*B6*2,0))))</f>
        <v>0</v>
      </c>
      <c r="C45" s="7"/>
      <c r="D45" s="12">
        <f t="shared" si="0"/>
        <v>0</v>
      </c>
    </row>
    <row r="46" spans="1:5" x14ac:dyDescent="0.2">
      <c r="A46" s="26" t="s">
        <v>33</v>
      </c>
      <c r="B46" s="16">
        <f>(IF(B10=1,B15*B5+B15*B6*2,IF(B11=1,0,0)))</f>
        <v>5</v>
      </c>
      <c r="C46" s="7"/>
      <c r="D46" s="12">
        <f t="shared" si="0"/>
        <v>0</v>
      </c>
    </row>
    <row r="47" spans="1:5" x14ac:dyDescent="0.2">
      <c r="A47" s="26" t="s">
        <v>40</v>
      </c>
      <c r="B47" s="16">
        <f>IF(B12=1,B15*B5+B15*B6*2,0)</f>
        <v>0</v>
      </c>
      <c r="C47" s="7"/>
      <c r="D47" s="12">
        <f t="shared" si="0"/>
        <v>0</v>
      </c>
    </row>
    <row r="48" spans="1:5" x14ac:dyDescent="0.2">
      <c r="A48" s="26" t="s">
        <v>41</v>
      </c>
      <c r="B48" s="16">
        <f>IF(B12=1,1*B5,0)</f>
        <v>0</v>
      </c>
      <c r="C48" s="7"/>
      <c r="D48" s="12">
        <f t="shared" si="0"/>
        <v>0</v>
      </c>
    </row>
    <row r="49" spans="1:5" x14ac:dyDescent="0.2">
      <c r="A49" s="26" t="s">
        <v>32</v>
      </c>
      <c r="B49" s="16">
        <f>B48*2+B47</f>
        <v>0</v>
      </c>
      <c r="C49" s="7"/>
      <c r="D49" s="12">
        <f t="shared" si="0"/>
        <v>0</v>
      </c>
    </row>
    <row r="50" spans="1:5" x14ac:dyDescent="0.2">
      <c r="A50" s="26" t="s">
        <v>42</v>
      </c>
      <c r="B50" s="6">
        <f>IF(B10=1,2*B5,IF(B11=1,2*B5,IF(B13=1,2*B5,0)))</f>
        <v>2</v>
      </c>
      <c r="C50" s="7"/>
      <c r="D50" s="12">
        <f t="shared" si="0"/>
        <v>0</v>
      </c>
    </row>
    <row r="51" spans="1:5" x14ac:dyDescent="0.2">
      <c r="A51" s="26" t="s">
        <v>135</v>
      </c>
      <c r="B51" s="16">
        <f>B50</f>
        <v>2</v>
      </c>
      <c r="C51" s="7"/>
      <c r="D51" s="12">
        <f t="shared" si="0"/>
        <v>0</v>
      </c>
    </row>
    <row r="52" spans="1:5" x14ac:dyDescent="0.2">
      <c r="A52" s="26" t="s">
        <v>202</v>
      </c>
      <c r="B52" s="6">
        <f>IF(B10=1,B15*B6*2+B15*B5,IF(B12=1,B15*B6*2+B15*B5,0))</f>
        <v>5</v>
      </c>
      <c r="C52" s="3"/>
      <c r="D52" s="12">
        <f t="shared" si="0"/>
        <v>0</v>
      </c>
    </row>
    <row r="53" spans="1:5" x14ac:dyDescent="0.2">
      <c r="A53" s="26" t="s">
        <v>43</v>
      </c>
      <c r="B53" s="6">
        <f>B47*2*B6</f>
        <v>0</v>
      </c>
      <c r="C53" s="7"/>
      <c r="D53" s="12">
        <f t="shared" si="0"/>
        <v>0</v>
      </c>
    </row>
    <row r="54" spans="1:5" x14ac:dyDescent="0.2">
      <c r="A54" s="26" t="s">
        <v>44</v>
      </c>
      <c r="B54" s="6">
        <f>B48*2*B6</f>
        <v>0</v>
      </c>
      <c r="C54" s="7"/>
      <c r="D54" s="12">
        <f t="shared" si="0"/>
        <v>0</v>
      </c>
    </row>
    <row r="55" spans="1:5" x14ac:dyDescent="0.2">
      <c r="A55" s="26" t="s">
        <v>45</v>
      </c>
      <c r="B55" s="16">
        <f>IF(B9=1,B39,0)</f>
        <v>0</v>
      </c>
      <c r="C55" s="7"/>
      <c r="D55" s="12">
        <f>B55*C55</f>
        <v>0</v>
      </c>
    </row>
    <row r="56" spans="1:5" ht="12" thickBot="1" x14ac:dyDescent="0.25">
      <c r="A56" s="27" t="s">
        <v>46</v>
      </c>
      <c r="B56" s="17">
        <f>IF(B13=1,B15*B6*2+B15*B5,0)</f>
        <v>0</v>
      </c>
      <c r="C56" s="11"/>
      <c r="D56" s="13">
        <f t="shared" si="0"/>
        <v>0</v>
      </c>
    </row>
    <row r="57" spans="1:5" ht="12" thickBot="1" x14ac:dyDescent="0.25">
      <c r="A57" s="162"/>
      <c r="B57" s="163"/>
      <c r="C57" s="163"/>
      <c r="D57" s="164"/>
    </row>
    <row r="58" spans="1:5" ht="12.75" x14ac:dyDescent="0.2">
      <c r="A58" s="159" t="s">
        <v>8</v>
      </c>
      <c r="B58" s="160"/>
      <c r="C58" s="160"/>
      <c r="D58" s="161"/>
    </row>
    <row r="59" spans="1:5" x14ac:dyDescent="0.2">
      <c r="A59" s="26" t="s">
        <v>47</v>
      </c>
      <c r="B59" s="16">
        <v>1</v>
      </c>
      <c r="C59" s="7"/>
      <c r="D59" s="12">
        <f t="shared" si="0"/>
        <v>0</v>
      </c>
    </row>
    <row r="60" spans="1:5" ht="12.75" customHeight="1" x14ac:dyDescent="0.2">
      <c r="A60" s="26" t="s">
        <v>48</v>
      </c>
      <c r="B60" s="16">
        <v>1</v>
      </c>
      <c r="C60" s="7"/>
      <c r="D60" s="12">
        <f t="shared" si="0"/>
        <v>0</v>
      </c>
    </row>
    <row r="61" spans="1:5" ht="12" thickBot="1" x14ac:dyDescent="0.25">
      <c r="A61" s="26" t="s">
        <v>49</v>
      </c>
      <c r="B61" s="16">
        <v>1</v>
      </c>
      <c r="C61" s="7"/>
      <c r="D61" s="12">
        <f t="shared" si="0"/>
        <v>0</v>
      </c>
    </row>
    <row r="62" spans="1:5" ht="11.25" customHeight="1" x14ac:dyDescent="0.2">
      <c r="A62" s="26" t="s">
        <v>50</v>
      </c>
      <c r="B62" s="16">
        <v>1</v>
      </c>
      <c r="C62" s="7"/>
      <c r="D62" s="12">
        <f t="shared" si="0"/>
        <v>0</v>
      </c>
      <c r="E62" s="157" t="s">
        <v>200</v>
      </c>
    </row>
    <row r="63" spans="1:5" ht="12" thickBot="1" x14ac:dyDescent="0.25">
      <c r="A63" s="27" t="s">
        <v>51</v>
      </c>
      <c r="B63" s="17">
        <v>1</v>
      </c>
      <c r="C63" s="11"/>
      <c r="D63" s="13">
        <f t="shared" si="0"/>
        <v>0</v>
      </c>
      <c r="E63" s="158"/>
    </row>
    <row r="64" spans="1:5" x14ac:dyDescent="0.2">
      <c r="C64" s="2" t="s">
        <v>7</v>
      </c>
      <c r="D64" s="2">
        <f>SUM(D19:D63)</f>
        <v>0</v>
      </c>
    </row>
  </sheetData>
  <mergeCells count="20">
    <mergeCell ref="A1:D1"/>
    <mergeCell ref="A2:D2"/>
    <mergeCell ref="C3:D3"/>
    <mergeCell ref="C4:D4"/>
    <mergeCell ref="A38:D38"/>
    <mergeCell ref="C6:D6"/>
    <mergeCell ref="A8:D8"/>
    <mergeCell ref="C9:D9"/>
    <mergeCell ref="C11:D11"/>
    <mergeCell ref="C10:D10"/>
    <mergeCell ref="C12:D12"/>
    <mergeCell ref="C16:D16"/>
    <mergeCell ref="A14:D14"/>
    <mergeCell ref="C15:D15"/>
    <mergeCell ref="C13:D13"/>
    <mergeCell ref="C5:D5"/>
    <mergeCell ref="C7:D7"/>
    <mergeCell ref="E62:E63"/>
    <mergeCell ref="A58:D58"/>
    <mergeCell ref="A57:D57"/>
  </mergeCells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1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115" zoomScaleNormal="100" workbookViewId="0">
      <selection activeCell="A38" sqref="A38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65" t="s">
        <v>107</v>
      </c>
      <c r="B1" s="166"/>
      <c r="C1" s="166"/>
      <c r="D1" s="166"/>
    </row>
    <row r="2" spans="1:5" ht="15" thickBot="1" x14ac:dyDescent="0.25">
      <c r="A2" s="167" t="s">
        <v>2</v>
      </c>
      <c r="B2" s="168"/>
      <c r="C2" s="168"/>
      <c r="D2" s="169"/>
    </row>
    <row r="3" spans="1:5" x14ac:dyDescent="0.2">
      <c r="A3" s="136" t="s">
        <v>4</v>
      </c>
      <c r="B3" s="114">
        <v>1</v>
      </c>
      <c r="C3" s="220" t="s">
        <v>10</v>
      </c>
      <c r="D3" s="171"/>
    </row>
    <row r="4" spans="1:5" x14ac:dyDescent="0.2">
      <c r="A4" s="137" t="s">
        <v>1</v>
      </c>
      <c r="B4" s="115">
        <v>1</v>
      </c>
      <c r="C4" s="238" t="s">
        <v>10</v>
      </c>
      <c r="D4" s="239"/>
    </row>
    <row r="5" spans="1:5" x14ac:dyDescent="0.2">
      <c r="A5" s="126" t="s">
        <v>108</v>
      </c>
      <c r="B5" s="116">
        <v>1</v>
      </c>
      <c r="C5" s="240" t="s">
        <v>10</v>
      </c>
      <c r="D5" s="241"/>
    </row>
    <row r="6" spans="1:5" ht="12" thickBot="1" x14ac:dyDescent="0.25">
      <c r="A6" s="127" t="s">
        <v>109</v>
      </c>
      <c r="B6" s="30">
        <v>0</v>
      </c>
      <c r="C6" s="201" t="s">
        <v>10</v>
      </c>
      <c r="D6" s="202"/>
    </row>
    <row r="7" spans="1:5" ht="12" thickBot="1" x14ac:dyDescent="0.25">
      <c r="A7" s="199" t="s">
        <v>136</v>
      </c>
      <c r="B7" s="179"/>
      <c r="C7" s="179"/>
      <c r="D7" s="200"/>
    </row>
    <row r="8" spans="1:5" x14ac:dyDescent="0.2">
      <c r="A8" s="125" t="s">
        <v>136</v>
      </c>
      <c r="B8" s="29">
        <v>0</v>
      </c>
      <c r="C8" s="180" t="s">
        <v>11</v>
      </c>
      <c r="D8" s="154"/>
    </row>
    <row r="9" spans="1:5" x14ac:dyDescent="0.2">
      <c r="A9" s="126" t="s">
        <v>31</v>
      </c>
      <c r="B9" s="28">
        <v>1</v>
      </c>
      <c r="C9" s="183" t="s">
        <v>11</v>
      </c>
      <c r="D9" s="184"/>
    </row>
    <row r="10" spans="1:5" x14ac:dyDescent="0.2">
      <c r="A10" s="126" t="s">
        <v>30</v>
      </c>
      <c r="B10" s="24">
        <v>0</v>
      </c>
      <c r="C10" s="181" t="s">
        <v>11</v>
      </c>
      <c r="D10" s="182"/>
    </row>
    <row r="11" spans="1:5" x14ac:dyDescent="0.2">
      <c r="A11" s="126" t="s">
        <v>28</v>
      </c>
      <c r="B11" s="28">
        <v>0</v>
      </c>
      <c r="C11" s="183" t="s">
        <v>11</v>
      </c>
      <c r="D11" s="184"/>
    </row>
    <row r="12" spans="1:5" x14ac:dyDescent="0.2">
      <c r="A12" s="143" t="s">
        <v>15</v>
      </c>
      <c r="B12" s="24">
        <v>0</v>
      </c>
      <c r="C12" s="198" t="s">
        <v>11</v>
      </c>
      <c r="D12" s="182"/>
    </row>
    <row r="13" spans="1:5" ht="12" thickBot="1" x14ac:dyDescent="0.25">
      <c r="A13" s="139" t="s">
        <v>278</v>
      </c>
      <c r="B13" s="141">
        <v>0</v>
      </c>
      <c r="C13" s="236" t="s">
        <v>11</v>
      </c>
      <c r="D13" s="237"/>
    </row>
    <row r="14" spans="1:5" ht="12" thickBot="1" x14ac:dyDescent="0.25">
      <c r="A14" s="191"/>
      <c r="B14" s="192"/>
      <c r="C14" s="192"/>
      <c r="D14" s="193"/>
    </row>
    <row r="15" spans="1:5" x14ac:dyDescent="0.2">
      <c r="A15" s="32" t="s">
        <v>13</v>
      </c>
      <c r="B15" s="33">
        <f>CEILING((B3-0.1)/0.4,1)+1</f>
        <v>4</v>
      </c>
      <c r="C15" s="149" t="s">
        <v>9</v>
      </c>
      <c r="D15" s="150"/>
      <c r="E15" s="15"/>
    </row>
    <row r="16" spans="1:5" ht="12" thickBot="1" x14ac:dyDescent="0.25">
      <c r="A16" s="34" t="s">
        <v>59</v>
      </c>
      <c r="B16" s="35">
        <f>SUM(B5:B6)</f>
        <v>1</v>
      </c>
      <c r="C16" s="185" t="s">
        <v>9</v>
      </c>
      <c r="D16" s="186"/>
      <c r="E16" s="15"/>
    </row>
    <row r="17" spans="1:4" ht="12" thickBot="1" x14ac:dyDescent="0.25"/>
    <row r="18" spans="1:4" ht="12.75" x14ac:dyDescent="0.2">
      <c r="A18" s="109" t="s">
        <v>5</v>
      </c>
      <c r="B18" s="110" t="s">
        <v>0</v>
      </c>
      <c r="C18" s="9" t="s">
        <v>3</v>
      </c>
      <c r="D18" s="111" t="s">
        <v>6</v>
      </c>
    </row>
    <row r="19" spans="1:4" x14ac:dyDescent="0.2">
      <c r="A19" s="26" t="s">
        <v>16</v>
      </c>
      <c r="B19" s="19">
        <f>(B3-0.06)*B16</f>
        <v>0.94</v>
      </c>
      <c r="C19" s="7"/>
      <c r="D19" s="1">
        <f t="shared" ref="D19:D38" si="0">B19*C19</f>
        <v>0</v>
      </c>
    </row>
    <row r="20" spans="1:4" x14ac:dyDescent="0.2">
      <c r="A20" s="26" t="s">
        <v>17</v>
      </c>
      <c r="B20" s="19">
        <f>(B3-0.011)*B16</f>
        <v>0.98899999999999999</v>
      </c>
      <c r="C20" s="7"/>
      <c r="D20" s="1">
        <f t="shared" si="0"/>
        <v>0</v>
      </c>
    </row>
    <row r="21" spans="1:4" x14ac:dyDescent="0.2">
      <c r="A21" s="26" t="s">
        <v>18</v>
      </c>
      <c r="B21" s="19">
        <f>(B3-0.011)*B16</f>
        <v>0.98899999999999999</v>
      </c>
      <c r="C21" s="7"/>
      <c r="D21" s="112">
        <f t="shared" si="0"/>
        <v>0</v>
      </c>
    </row>
    <row r="22" spans="1:4" x14ac:dyDescent="0.2">
      <c r="A22" s="26" t="s">
        <v>88</v>
      </c>
      <c r="B22" s="19">
        <f>(B3-0.011)*B6</f>
        <v>0</v>
      </c>
      <c r="C22" s="7"/>
      <c r="D22" s="112">
        <f t="shared" si="0"/>
        <v>0</v>
      </c>
    </row>
    <row r="23" spans="1:4" x14ac:dyDescent="0.2">
      <c r="A23" s="26" t="s">
        <v>87</v>
      </c>
      <c r="B23" s="19">
        <f>(B3-0.003)*B16*2</f>
        <v>1.994</v>
      </c>
      <c r="C23" s="7"/>
      <c r="D23" s="112">
        <f t="shared" si="0"/>
        <v>0</v>
      </c>
    </row>
    <row r="24" spans="1:4" x14ac:dyDescent="0.2">
      <c r="A24" s="26" t="s">
        <v>110</v>
      </c>
      <c r="B24" s="19">
        <f>2*B16</f>
        <v>2</v>
      </c>
      <c r="C24" s="7"/>
      <c r="D24" s="112">
        <f t="shared" si="0"/>
        <v>0</v>
      </c>
    </row>
    <row r="25" spans="1:4" x14ac:dyDescent="0.2">
      <c r="A25" s="26" t="s">
        <v>20</v>
      </c>
      <c r="B25" s="19">
        <f>2*B5</f>
        <v>2</v>
      </c>
      <c r="C25" s="7"/>
      <c r="D25" s="112">
        <f t="shared" si="0"/>
        <v>0</v>
      </c>
    </row>
    <row r="26" spans="1:4" x14ac:dyDescent="0.2">
      <c r="A26" s="26" t="s">
        <v>113</v>
      </c>
      <c r="B26" s="19">
        <f>2*B6</f>
        <v>0</v>
      </c>
      <c r="C26" s="7"/>
      <c r="D26" s="112">
        <f t="shared" si="0"/>
        <v>0</v>
      </c>
    </row>
    <row r="27" spans="1:4" x14ac:dyDescent="0.2">
      <c r="A27" s="26" t="s">
        <v>68</v>
      </c>
      <c r="B27" s="19">
        <f>2*B6</f>
        <v>0</v>
      </c>
      <c r="C27" s="7"/>
      <c r="D27" s="112">
        <f t="shared" si="0"/>
        <v>0</v>
      </c>
    </row>
    <row r="28" spans="1:4" x14ac:dyDescent="0.2">
      <c r="A28" s="26" t="s">
        <v>111</v>
      </c>
      <c r="B28" s="19">
        <f>2*B16</f>
        <v>2</v>
      </c>
      <c r="C28" s="7"/>
      <c r="D28" s="112">
        <f t="shared" si="0"/>
        <v>0</v>
      </c>
    </row>
    <row r="29" spans="1:4" x14ac:dyDescent="0.2">
      <c r="A29" s="26" t="s">
        <v>21</v>
      </c>
      <c r="B29" s="19">
        <f>B15*2*B16</f>
        <v>8</v>
      </c>
      <c r="C29" s="7"/>
      <c r="D29" s="112">
        <f t="shared" si="0"/>
        <v>0</v>
      </c>
    </row>
    <row r="30" spans="1:4" x14ac:dyDescent="0.2">
      <c r="A30" s="26" t="s">
        <v>112</v>
      </c>
      <c r="B30" s="19">
        <f>B16</f>
        <v>1</v>
      </c>
      <c r="C30" s="7"/>
      <c r="D30" s="112">
        <f t="shared" si="0"/>
        <v>0</v>
      </c>
    </row>
    <row r="31" spans="1:4" x14ac:dyDescent="0.2">
      <c r="A31" s="26" t="s">
        <v>86</v>
      </c>
      <c r="B31" s="19">
        <f>(IF(B15&lt;=3,2,IF(B15&lt;=5,4,0)))*B16</f>
        <v>4</v>
      </c>
      <c r="C31" s="7"/>
      <c r="D31" s="112">
        <f>B31*C31</f>
        <v>0</v>
      </c>
    </row>
    <row r="32" spans="1:4" x14ac:dyDescent="0.2">
      <c r="A32" s="26" t="s">
        <v>22</v>
      </c>
      <c r="B32" s="19">
        <f>2*B16</f>
        <v>2</v>
      </c>
      <c r="C32" s="7"/>
      <c r="D32" s="112">
        <f t="shared" si="0"/>
        <v>0</v>
      </c>
    </row>
    <row r="33" spans="1:5" x14ac:dyDescent="0.2">
      <c r="A33" s="20" t="s">
        <v>52</v>
      </c>
      <c r="B33" s="19">
        <f>(IF(B15&lt;=4,(B3+B4+0.05-0.1+0.2)*2+(B3+B4+0.2)*2,IF(B15=5,(2*B3+B4+0.05-0.1+0.2)*2+(B3+B4+0.2)*4,(2*B3+B4+0.05-0.1+0.2)*2+(B3+B4+0.2)*2+(((B3-0.1)*4/5+0.1)+B4+0.2)*2)))*B16</f>
        <v>8.6999999999999993</v>
      </c>
      <c r="C33" s="7"/>
      <c r="D33" s="112">
        <f t="shared" si="0"/>
        <v>0</v>
      </c>
      <c r="E33" s="15"/>
    </row>
    <row r="34" spans="1:5" x14ac:dyDescent="0.2">
      <c r="A34" s="20" t="s">
        <v>64</v>
      </c>
      <c r="B34" s="19">
        <f>(B3+2*B4+0.2)*B16</f>
        <v>3.2</v>
      </c>
      <c r="C34" s="7"/>
      <c r="D34" s="112">
        <f t="shared" si="0"/>
        <v>0</v>
      </c>
      <c r="E34" s="15"/>
    </row>
    <row r="35" spans="1:5" x14ac:dyDescent="0.2">
      <c r="A35" s="20" t="s">
        <v>23</v>
      </c>
      <c r="B35" s="19">
        <f>(IF(B3&lt;=0.8,1,2))*B16</f>
        <v>2</v>
      </c>
      <c r="C35" s="7"/>
      <c r="D35" s="112">
        <f t="shared" si="0"/>
        <v>0</v>
      </c>
      <c r="E35" s="15"/>
    </row>
    <row r="36" spans="1:5" x14ac:dyDescent="0.2">
      <c r="A36" s="26" t="s">
        <v>24</v>
      </c>
      <c r="B36" s="19">
        <f>B35</f>
        <v>2</v>
      </c>
      <c r="C36" s="7"/>
      <c r="D36" s="112">
        <f t="shared" si="0"/>
        <v>0</v>
      </c>
    </row>
    <row r="37" spans="1:5" x14ac:dyDescent="0.2">
      <c r="A37" s="26" t="s">
        <v>25</v>
      </c>
      <c r="B37" s="19">
        <f>B36</f>
        <v>2</v>
      </c>
      <c r="C37" s="7"/>
      <c r="D37" s="112">
        <f t="shared" si="0"/>
        <v>0</v>
      </c>
    </row>
    <row r="38" spans="1:5" x14ac:dyDescent="0.2">
      <c r="A38" s="26" t="s">
        <v>278</v>
      </c>
      <c r="B38" s="19">
        <f>IF(B13=1,B4*2*B16,0)</f>
        <v>0</v>
      </c>
      <c r="C38" s="7"/>
      <c r="D38" s="112">
        <f t="shared" si="0"/>
        <v>0</v>
      </c>
    </row>
    <row r="39" spans="1:5" ht="12" thickBot="1" x14ac:dyDescent="0.25">
      <c r="A39" s="194"/>
      <c r="B39" s="195"/>
      <c r="C39" s="195"/>
      <c r="D39" s="196"/>
    </row>
    <row r="40" spans="1:5" ht="12.75" x14ac:dyDescent="0.2">
      <c r="A40" s="174" t="s">
        <v>14</v>
      </c>
      <c r="B40" s="175"/>
      <c r="C40" s="175"/>
      <c r="D40" s="176"/>
    </row>
    <row r="41" spans="1:5" x14ac:dyDescent="0.2">
      <c r="A41" s="26" t="s">
        <v>34</v>
      </c>
      <c r="B41" s="19">
        <f>IF(B8=1,2*B5,IF(B12=1,2*B5,IF(B9=1,2*B5,IF(B10=1,2*B5,0))))</f>
        <v>2</v>
      </c>
      <c r="C41" s="7"/>
      <c r="D41" s="12">
        <f>B41*C41</f>
        <v>0</v>
      </c>
      <c r="E41" s="15"/>
    </row>
    <row r="42" spans="1:5" x14ac:dyDescent="0.2">
      <c r="A42" s="26" t="s">
        <v>201</v>
      </c>
      <c r="B42" s="19">
        <f>IF(B8=1,2*B5,IF(B9=1,2*B5,IF(B10=1,2*B5,0)))</f>
        <v>2</v>
      </c>
      <c r="C42" s="7"/>
      <c r="D42" s="62">
        <f>B42*C42</f>
        <v>0</v>
      </c>
      <c r="E42" s="15"/>
    </row>
    <row r="43" spans="1:5" x14ac:dyDescent="0.2">
      <c r="A43" s="26" t="s">
        <v>35</v>
      </c>
      <c r="B43" s="19">
        <f>IF(B9=1,(B15+2)*B16,0)</f>
        <v>6</v>
      </c>
      <c r="C43" s="7"/>
      <c r="D43" s="12">
        <f>B43*C43</f>
        <v>0</v>
      </c>
      <c r="E43" s="15"/>
    </row>
    <row r="44" spans="1:5" x14ac:dyDescent="0.2">
      <c r="A44" s="26" t="s">
        <v>36</v>
      </c>
      <c r="B44" s="19">
        <f>IF(B9=1,B15*B6*2+B15*B5,0)</f>
        <v>4</v>
      </c>
      <c r="C44" s="7"/>
      <c r="D44" s="12">
        <f>B58*C44</f>
        <v>0</v>
      </c>
    </row>
    <row r="45" spans="1:5" x14ac:dyDescent="0.2">
      <c r="A45" s="26" t="s">
        <v>37</v>
      </c>
      <c r="B45" s="19">
        <f>IF(B10=1,2*B5,0)</f>
        <v>0</v>
      </c>
      <c r="C45" s="7"/>
      <c r="D45" s="12">
        <f t="shared" ref="D45:D58" si="1">B45*C45</f>
        <v>0</v>
      </c>
    </row>
    <row r="46" spans="1:5" x14ac:dyDescent="0.2">
      <c r="A46" s="26" t="s">
        <v>38</v>
      </c>
      <c r="B46" s="19">
        <f>IF(B10=1,B15*B5+B15*B6*2,0)</f>
        <v>0</v>
      </c>
      <c r="C46" s="7"/>
      <c r="D46" s="12">
        <f t="shared" si="1"/>
        <v>0</v>
      </c>
    </row>
    <row r="47" spans="1:5" x14ac:dyDescent="0.2">
      <c r="A47" s="26" t="s">
        <v>39</v>
      </c>
      <c r="B47" s="19">
        <f>IF(B8=1,B15*B5+B15*B6*2,IF(B9=1,0,IF(B11=1,B15*B5+B15*B6*2,IF(B12=1,B15*B5+B15*B6*2,0))))</f>
        <v>0</v>
      </c>
      <c r="C47" s="7"/>
      <c r="D47" s="12">
        <f t="shared" si="1"/>
        <v>0</v>
      </c>
    </row>
    <row r="48" spans="1:5" x14ac:dyDescent="0.2">
      <c r="A48" s="26" t="s">
        <v>33</v>
      </c>
      <c r="B48" s="19">
        <f>(IF(B9=1,B15*B5+B15*B6*2,IF(B10=1,0,0)))</f>
        <v>4</v>
      </c>
      <c r="C48" s="7"/>
      <c r="D48" s="12">
        <f t="shared" si="1"/>
        <v>0</v>
      </c>
    </row>
    <row r="49" spans="1:5" x14ac:dyDescent="0.2">
      <c r="A49" s="26" t="s">
        <v>40</v>
      </c>
      <c r="B49" s="19">
        <f>IF(B11=1,B15*B5+B15*B6*2,0)</f>
        <v>0</v>
      </c>
      <c r="C49" s="7"/>
      <c r="D49" s="12">
        <f t="shared" si="1"/>
        <v>0</v>
      </c>
    </row>
    <row r="50" spans="1:5" x14ac:dyDescent="0.2">
      <c r="A50" s="26" t="s">
        <v>41</v>
      </c>
      <c r="B50" s="19">
        <f>IF(B11=1,1*B5,0)</f>
        <v>0</v>
      </c>
      <c r="C50" s="7"/>
      <c r="D50" s="12">
        <f t="shared" si="1"/>
        <v>0</v>
      </c>
    </row>
    <row r="51" spans="1:5" x14ac:dyDescent="0.2">
      <c r="A51" s="26" t="s">
        <v>32</v>
      </c>
      <c r="B51" s="19">
        <f>B50*2+B49</f>
        <v>0</v>
      </c>
      <c r="C51" s="7"/>
      <c r="D51" s="12">
        <f t="shared" si="1"/>
        <v>0</v>
      </c>
    </row>
    <row r="52" spans="1:5" x14ac:dyDescent="0.2">
      <c r="A52" s="26" t="s">
        <v>42</v>
      </c>
      <c r="B52" s="6">
        <f>IF(B9=1,2*B5,IF(B10=1,2*B5,IF(B12=1,2*B5,0)))</f>
        <v>2</v>
      </c>
      <c r="C52" s="7"/>
      <c r="D52" s="12">
        <f t="shared" si="1"/>
        <v>0</v>
      </c>
    </row>
    <row r="53" spans="1:5" x14ac:dyDescent="0.2">
      <c r="A53" s="26" t="s">
        <v>135</v>
      </c>
      <c r="B53" s="19">
        <f>B52</f>
        <v>2</v>
      </c>
      <c r="C53" s="7"/>
      <c r="D53" s="12">
        <f t="shared" si="1"/>
        <v>0</v>
      </c>
    </row>
    <row r="54" spans="1:5" x14ac:dyDescent="0.2">
      <c r="A54" s="26" t="s">
        <v>202</v>
      </c>
      <c r="B54" s="6">
        <f>IF(B9=1,B15*B6*2+B15*B5,IF(B11=1,B15*B6*2+B15*B5,0))</f>
        <v>4</v>
      </c>
      <c r="C54" s="3"/>
      <c r="D54" s="12">
        <f t="shared" si="1"/>
        <v>0</v>
      </c>
    </row>
    <row r="55" spans="1:5" x14ac:dyDescent="0.2">
      <c r="A55" s="26" t="s">
        <v>43</v>
      </c>
      <c r="B55" s="6">
        <f>B49*2*B6</f>
        <v>0</v>
      </c>
      <c r="C55" s="7"/>
      <c r="D55" s="12">
        <f t="shared" si="1"/>
        <v>0</v>
      </c>
    </row>
    <row r="56" spans="1:5" x14ac:dyDescent="0.2">
      <c r="A56" s="26" t="s">
        <v>44</v>
      </c>
      <c r="B56" s="6">
        <f>B50*2*B6</f>
        <v>0</v>
      </c>
      <c r="C56" s="7"/>
      <c r="D56" s="12">
        <f t="shared" si="1"/>
        <v>0</v>
      </c>
    </row>
    <row r="57" spans="1:5" x14ac:dyDescent="0.2">
      <c r="A57" s="26" t="s">
        <v>45</v>
      </c>
      <c r="B57" s="19">
        <f>IF(B8=1,B41,0)</f>
        <v>0</v>
      </c>
      <c r="C57" s="7"/>
      <c r="D57" s="12">
        <f t="shared" si="1"/>
        <v>0</v>
      </c>
    </row>
    <row r="58" spans="1:5" ht="12" thickBot="1" x14ac:dyDescent="0.25">
      <c r="A58" s="27" t="s">
        <v>46</v>
      </c>
      <c r="B58" s="44">
        <f>IF(B12=1,B15*B6*2+B15*B5,0)</f>
        <v>0</v>
      </c>
      <c r="C58" s="11"/>
      <c r="D58" s="13">
        <f t="shared" si="1"/>
        <v>0</v>
      </c>
    </row>
    <row r="59" spans="1:5" ht="12" thickBot="1" x14ac:dyDescent="0.25">
      <c r="A59" s="162"/>
      <c r="B59" s="163"/>
      <c r="C59" s="163"/>
      <c r="D59" s="164"/>
    </row>
    <row r="60" spans="1:5" ht="12.75" x14ac:dyDescent="0.2">
      <c r="A60" s="159" t="s">
        <v>8</v>
      </c>
      <c r="B60" s="160"/>
      <c r="C60" s="160"/>
      <c r="D60" s="203"/>
    </row>
    <row r="61" spans="1:5" x14ac:dyDescent="0.2">
      <c r="A61" s="26" t="s">
        <v>47</v>
      </c>
      <c r="B61" s="19">
        <v>1</v>
      </c>
      <c r="C61" s="7"/>
      <c r="D61" s="12">
        <f>B61*C61</f>
        <v>0</v>
      </c>
    </row>
    <row r="62" spans="1:5" ht="12.75" customHeight="1" x14ac:dyDescent="0.2">
      <c r="A62" s="26" t="s">
        <v>48</v>
      </c>
      <c r="B62" s="19">
        <v>1</v>
      </c>
      <c r="C62" s="7"/>
      <c r="D62" s="12">
        <f>B62*C62</f>
        <v>0</v>
      </c>
    </row>
    <row r="63" spans="1:5" ht="12" thickBot="1" x14ac:dyDescent="0.25">
      <c r="A63" s="26" t="s">
        <v>49</v>
      </c>
      <c r="B63" s="19">
        <v>1</v>
      </c>
      <c r="C63" s="7"/>
      <c r="D63" s="12">
        <f>B63*C63</f>
        <v>0</v>
      </c>
    </row>
    <row r="64" spans="1:5" x14ac:dyDescent="0.2">
      <c r="A64" s="26" t="s">
        <v>50</v>
      </c>
      <c r="B64" s="19">
        <v>1</v>
      </c>
      <c r="C64" s="7"/>
      <c r="D64" s="12">
        <f>B64*C64</f>
        <v>0</v>
      </c>
      <c r="E64" s="157" t="s">
        <v>114</v>
      </c>
    </row>
    <row r="65" spans="1:5" ht="12" thickBot="1" x14ac:dyDescent="0.25">
      <c r="A65" s="27" t="s">
        <v>51</v>
      </c>
      <c r="B65" s="44">
        <v>1</v>
      </c>
      <c r="C65" s="11"/>
      <c r="D65" s="13">
        <f>B65*C65</f>
        <v>0</v>
      </c>
      <c r="E65" s="242"/>
    </row>
    <row r="66" spans="1:5" x14ac:dyDescent="0.2">
      <c r="C66" s="2" t="s">
        <v>7</v>
      </c>
      <c r="D66" s="2">
        <f>SUM(D19:D65)</f>
        <v>0</v>
      </c>
    </row>
  </sheetData>
  <mergeCells count="21">
    <mergeCell ref="C16:D16"/>
    <mergeCell ref="A14:D14"/>
    <mergeCell ref="E64:E65"/>
    <mergeCell ref="A39:D39"/>
    <mergeCell ref="A40:D40"/>
    <mergeCell ref="A60:D60"/>
    <mergeCell ref="A59:D59"/>
    <mergeCell ref="C15:D15"/>
    <mergeCell ref="C13:D13"/>
    <mergeCell ref="A1:D1"/>
    <mergeCell ref="A2:D2"/>
    <mergeCell ref="C3:D3"/>
    <mergeCell ref="C4:D4"/>
    <mergeCell ref="A7:D7"/>
    <mergeCell ref="C5:D5"/>
    <mergeCell ref="C6:D6"/>
    <mergeCell ref="C11:D11"/>
    <mergeCell ref="C12:D12"/>
    <mergeCell ref="C8:D8"/>
    <mergeCell ref="C10:D10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="115" zoomScaleNormal="100" workbookViewId="0">
      <selection activeCell="A38" sqref="A38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65" t="s">
        <v>115</v>
      </c>
      <c r="B1" s="166"/>
      <c r="C1" s="166"/>
      <c r="D1" s="166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4</v>
      </c>
      <c r="B3" s="113">
        <v>1</v>
      </c>
      <c r="C3" s="190" t="s">
        <v>10</v>
      </c>
      <c r="D3" s="154"/>
    </row>
    <row r="4" spans="1:8" x14ac:dyDescent="0.2">
      <c r="A4" s="137" t="s">
        <v>1</v>
      </c>
      <c r="B4" s="116">
        <v>1</v>
      </c>
      <c r="C4" s="235" t="s">
        <v>10</v>
      </c>
      <c r="D4" s="184"/>
      <c r="E4" s="14"/>
    </row>
    <row r="5" spans="1:8" x14ac:dyDescent="0.2">
      <c r="A5" s="126" t="s">
        <v>116</v>
      </c>
      <c r="B5" s="115">
        <v>6</v>
      </c>
      <c r="C5" s="221" t="s">
        <v>10</v>
      </c>
      <c r="D5" s="182"/>
      <c r="E5" s="14"/>
    </row>
    <row r="6" spans="1:8" x14ac:dyDescent="0.2">
      <c r="A6" s="126" t="s">
        <v>117</v>
      </c>
      <c r="B6" s="28">
        <v>0</v>
      </c>
      <c r="C6" s="197" t="s">
        <v>10</v>
      </c>
      <c r="D6" s="178"/>
      <c r="E6" s="14"/>
      <c r="F6" s="14"/>
      <c r="G6" s="14"/>
      <c r="H6" s="14"/>
    </row>
    <row r="7" spans="1:8" ht="12" thickBot="1" x14ac:dyDescent="0.25">
      <c r="A7" s="127" t="s">
        <v>152</v>
      </c>
      <c r="B7" s="30">
        <v>0</v>
      </c>
      <c r="C7" s="201" t="s">
        <v>10</v>
      </c>
      <c r="D7" s="202"/>
      <c r="E7" s="14"/>
      <c r="F7" s="14"/>
      <c r="G7" s="14"/>
      <c r="H7" s="14"/>
    </row>
    <row r="8" spans="1:8" ht="12" thickBot="1" x14ac:dyDescent="0.25">
      <c r="A8" s="199" t="s">
        <v>14</v>
      </c>
      <c r="B8" s="179"/>
      <c r="C8" s="179"/>
      <c r="D8" s="200"/>
      <c r="E8" s="14"/>
      <c r="F8" s="14"/>
      <c r="G8" s="14"/>
      <c r="H8" s="14"/>
    </row>
    <row r="9" spans="1:8" x14ac:dyDescent="0.2">
      <c r="A9" s="125" t="s">
        <v>137</v>
      </c>
      <c r="B9" s="29">
        <v>1</v>
      </c>
      <c r="C9" s="180" t="s">
        <v>11</v>
      </c>
      <c r="D9" s="154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83" t="s">
        <v>11</v>
      </c>
      <c r="D10" s="184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81" t="s">
        <v>11</v>
      </c>
      <c r="D11" s="182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83" t="s">
        <v>11</v>
      </c>
      <c r="D12" s="184"/>
      <c r="E12" s="14"/>
      <c r="F12" s="14"/>
      <c r="G12" s="14"/>
      <c r="H12" s="14"/>
    </row>
    <row r="13" spans="1:8" x14ac:dyDescent="0.2">
      <c r="A13" s="126" t="s">
        <v>15</v>
      </c>
      <c r="B13" s="24">
        <v>0</v>
      </c>
      <c r="C13" s="181" t="s">
        <v>11</v>
      </c>
      <c r="D13" s="182"/>
      <c r="F13" s="14"/>
      <c r="G13" s="14"/>
      <c r="H13" s="14"/>
    </row>
    <row r="14" spans="1:8" ht="12" thickBot="1" x14ac:dyDescent="0.25">
      <c r="A14" s="139" t="s">
        <v>278</v>
      </c>
      <c r="B14" s="142">
        <v>0</v>
      </c>
      <c r="C14" s="223" t="s">
        <v>11</v>
      </c>
      <c r="D14" s="224"/>
      <c r="F14" s="14"/>
      <c r="G14" s="14"/>
      <c r="H14" s="14"/>
    </row>
    <row r="15" spans="1:8" ht="12" thickBot="1" x14ac:dyDescent="0.25">
      <c r="A15" s="187"/>
      <c r="B15" s="188"/>
      <c r="C15" s="188"/>
      <c r="D15" s="189"/>
      <c r="F15" s="14"/>
      <c r="G15" s="14"/>
      <c r="H15" s="14"/>
    </row>
    <row r="16" spans="1:8" x14ac:dyDescent="0.2">
      <c r="A16" s="32" t="s">
        <v>13</v>
      </c>
      <c r="B16" s="33">
        <f>CEILING((B3-0.1)/0.4,1)+1</f>
        <v>4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B5+B6+B7</f>
        <v>6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F18" s="14"/>
      <c r="G18" s="14"/>
      <c r="H18" s="14"/>
    </row>
    <row r="19" spans="1:8" ht="12.75" x14ac:dyDescent="0.2">
      <c r="A19" s="8" t="s">
        <v>5</v>
      </c>
      <c r="B19" s="25" t="s">
        <v>0</v>
      </c>
      <c r="C19" s="9" t="s">
        <v>3</v>
      </c>
      <c r="D19" s="10" t="s">
        <v>6</v>
      </c>
      <c r="F19" s="14"/>
      <c r="G19" s="14"/>
      <c r="H19" s="14"/>
    </row>
    <row r="20" spans="1:8" x14ac:dyDescent="0.2">
      <c r="A20" s="26" t="s">
        <v>16</v>
      </c>
      <c r="B20" s="19">
        <f>(B3-0.06)*2*B17</f>
        <v>11.28</v>
      </c>
      <c r="C20" s="7"/>
      <c r="D20" s="1">
        <f t="shared" ref="D20:D37" si="0">B20*C20</f>
        <v>0</v>
      </c>
      <c r="F20" s="14"/>
      <c r="G20" s="14"/>
      <c r="H20" s="14"/>
    </row>
    <row r="21" spans="1:8" x14ac:dyDescent="0.2">
      <c r="A21" s="26" t="s">
        <v>17</v>
      </c>
      <c r="B21" s="19">
        <f>(B3-0.011)*2*B17</f>
        <v>11.868</v>
      </c>
      <c r="C21" s="7"/>
      <c r="D21" s="1">
        <f t="shared" si="0"/>
        <v>0</v>
      </c>
      <c r="F21" s="14"/>
      <c r="G21" s="14"/>
      <c r="H21" s="14"/>
    </row>
    <row r="22" spans="1:8" x14ac:dyDescent="0.2">
      <c r="A22" s="26" t="s">
        <v>88</v>
      </c>
      <c r="B22" s="19">
        <f>(B3-0.011)*(B5+B6*2)</f>
        <v>5.9340000000000002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26" t="s">
        <v>87</v>
      </c>
      <c r="B23" s="19">
        <f>(B3-0.003)*B17*2</f>
        <v>11.964</v>
      </c>
      <c r="C23" s="7"/>
      <c r="D23" s="12">
        <f t="shared" si="0"/>
        <v>0</v>
      </c>
    </row>
    <row r="24" spans="1:8" x14ac:dyDescent="0.2">
      <c r="A24" s="26" t="s">
        <v>62</v>
      </c>
      <c r="B24" s="19">
        <f>2*B6</f>
        <v>0</v>
      </c>
      <c r="C24" s="7"/>
      <c r="D24" s="12">
        <f t="shared" si="0"/>
        <v>0</v>
      </c>
    </row>
    <row r="25" spans="1:8" x14ac:dyDescent="0.2">
      <c r="A25" s="26" t="s">
        <v>113</v>
      </c>
      <c r="B25" s="19">
        <f>2*(B5+B6*2)</f>
        <v>12</v>
      </c>
      <c r="C25" s="7"/>
      <c r="D25" s="12">
        <f t="shared" si="0"/>
        <v>0</v>
      </c>
    </row>
    <row r="26" spans="1:8" x14ac:dyDescent="0.2">
      <c r="A26" s="26" t="s">
        <v>20</v>
      </c>
      <c r="B26" s="19">
        <f>2*B5+4*B7</f>
        <v>12</v>
      </c>
      <c r="C26" s="7"/>
      <c r="D26" s="12">
        <f t="shared" si="0"/>
        <v>0</v>
      </c>
    </row>
    <row r="27" spans="1:8" x14ac:dyDescent="0.2">
      <c r="A27" s="26" t="s">
        <v>68</v>
      </c>
      <c r="B27" s="19">
        <f>2*B5+4*B6</f>
        <v>12</v>
      </c>
      <c r="C27" s="7"/>
      <c r="D27" s="12">
        <f t="shared" si="0"/>
        <v>0</v>
      </c>
    </row>
    <row r="28" spans="1:8" x14ac:dyDescent="0.2">
      <c r="A28" s="26" t="s">
        <v>111</v>
      </c>
      <c r="B28" s="19">
        <f>4*B17</f>
        <v>24</v>
      </c>
      <c r="C28" s="7"/>
      <c r="D28" s="12">
        <f t="shared" si="0"/>
        <v>0</v>
      </c>
    </row>
    <row r="29" spans="1:8" x14ac:dyDescent="0.2">
      <c r="A29" s="26" t="s">
        <v>21</v>
      </c>
      <c r="B29" s="19">
        <f>B16*2*B17</f>
        <v>48</v>
      </c>
      <c r="C29" s="7"/>
      <c r="D29" s="12">
        <f t="shared" si="0"/>
        <v>0</v>
      </c>
    </row>
    <row r="30" spans="1:8" x14ac:dyDescent="0.2">
      <c r="A30" s="26" t="s">
        <v>112</v>
      </c>
      <c r="B30" s="19">
        <f>1*(B5+B6)</f>
        <v>6</v>
      </c>
      <c r="C30" s="7"/>
      <c r="D30" s="12">
        <f t="shared" si="0"/>
        <v>0</v>
      </c>
    </row>
    <row r="31" spans="1:8" x14ac:dyDescent="0.2">
      <c r="A31" s="26" t="s">
        <v>22</v>
      </c>
      <c r="B31" s="19">
        <f>(IF(B16&lt;=4,4,6))*B17</f>
        <v>24</v>
      </c>
      <c r="C31" s="7"/>
      <c r="D31" s="12">
        <f t="shared" si="0"/>
        <v>0</v>
      </c>
    </row>
    <row r="32" spans="1:8" x14ac:dyDescent="0.2">
      <c r="A32" s="20" t="s">
        <v>52</v>
      </c>
      <c r="B32" s="19">
        <f>((IF(B16&lt;=4,(B181*B3+B4+0.05-0.1+0.2)*2+(B3+B4+0.2)*2,IF(B16=5,(2*B3+B4+0.05-0.1+0.2)*2+(B3+B4+0.2)*4,(2*B3+B4+0.05-0.1+0.2)*2+(B3+B4+0.2)*2+(((B3-0.1)*4/5+0.1)+B4+0.2)*2)))*B17)*2</f>
        <v>80.400000000000006</v>
      </c>
      <c r="C32" s="7"/>
      <c r="D32" s="12">
        <f t="shared" si="0"/>
        <v>0</v>
      </c>
      <c r="E32" s="15"/>
    </row>
    <row r="33" spans="1:5" x14ac:dyDescent="0.2">
      <c r="A33" s="20" t="s">
        <v>64</v>
      </c>
      <c r="B33" s="19">
        <f>(B3+2*B4+0.2)*B16</f>
        <v>12.8</v>
      </c>
      <c r="C33" s="7"/>
      <c r="D33" s="12">
        <f t="shared" si="0"/>
        <v>0</v>
      </c>
      <c r="E33" s="15"/>
    </row>
    <row r="34" spans="1:5" x14ac:dyDescent="0.2">
      <c r="A34" s="20" t="s">
        <v>23</v>
      </c>
      <c r="B34" s="19">
        <f>(IF(B3&lt;=0.8,2,4))*B17</f>
        <v>24</v>
      </c>
      <c r="C34" s="7"/>
      <c r="D34" s="12">
        <f t="shared" si="0"/>
        <v>0</v>
      </c>
      <c r="E34" s="15"/>
    </row>
    <row r="35" spans="1:5" x14ac:dyDescent="0.2">
      <c r="A35" s="26" t="s">
        <v>24</v>
      </c>
      <c r="B35" s="19">
        <f>B34</f>
        <v>24</v>
      </c>
      <c r="C35" s="7"/>
      <c r="D35" s="12">
        <f t="shared" si="0"/>
        <v>0</v>
      </c>
    </row>
    <row r="36" spans="1:5" x14ac:dyDescent="0.2">
      <c r="A36" s="26" t="s">
        <v>25</v>
      </c>
      <c r="B36" s="19">
        <f>B35</f>
        <v>24</v>
      </c>
      <c r="C36" s="7"/>
      <c r="D36" s="12">
        <f t="shared" si="0"/>
        <v>0</v>
      </c>
    </row>
    <row r="37" spans="1:5" x14ac:dyDescent="0.2">
      <c r="A37" s="26" t="s">
        <v>26</v>
      </c>
      <c r="B37" s="19">
        <f>B33</f>
        <v>12.8</v>
      </c>
      <c r="C37" s="7"/>
      <c r="D37" s="12">
        <f t="shared" si="0"/>
        <v>0</v>
      </c>
    </row>
    <row r="38" spans="1:5" x14ac:dyDescent="0.2">
      <c r="A38" s="118" t="s">
        <v>278</v>
      </c>
      <c r="B38" s="54">
        <f>IF(B14=1,B4*2*B17,0)</f>
        <v>0</v>
      </c>
      <c r="C38" s="53"/>
      <c r="D38" s="108"/>
    </row>
    <row r="39" spans="1:5" ht="12" thickBot="1" x14ac:dyDescent="0.25">
      <c r="A39" s="243" t="s">
        <v>277</v>
      </c>
      <c r="B39" s="227"/>
      <c r="C39" s="227"/>
      <c r="D39" s="228"/>
    </row>
    <row r="40" spans="1:5" ht="12.75" x14ac:dyDescent="0.2">
      <c r="A40" s="244" t="s">
        <v>14</v>
      </c>
      <c r="B40" s="245"/>
      <c r="C40" s="245"/>
      <c r="D40" s="246"/>
    </row>
    <row r="41" spans="1:5" x14ac:dyDescent="0.2">
      <c r="A41" s="26" t="s">
        <v>34</v>
      </c>
      <c r="B41" s="19">
        <f>IF(OR(B9=1,B10=1,B11=1,B13=1),2*B5+4*B7,0)</f>
        <v>12</v>
      </c>
      <c r="C41" s="7"/>
      <c r="D41" s="12">
        <f>B41*C41</f>
        <v>0</v>
      </c>
      <c r="E41" s="15"/>
    </row>
    <row r="42" spans="1:5" x14ac:dyDescent="0.2">
      <c r="A42" s="26" t="s">
        <v>201</v>
      </c>
      <c r="B42" s="19">
        <f>IF(B9=1,2*B5+4*B7,IF(B10=1,2*B5+4*B7,IF(B11=1,2*B5+4*B7,0)))</f>
        <v>12</v>
      </c>
      <c r="C42" s="7"/>
      <c r="D42" s="62">
        <f>B42*C42</f>
        <v>0</v>
      </c>
      <c r="E42" s="15"/>
    </row>
    <row r="43" spans="1:5" x14ac:dyDescent="0.2">
      <c r="A43" s="26" t="s">
        <v>35</v>
      </c>
      <c r="B43" s="19">
        <f>IF(B10=1,(B16+2)*B17,0)</f>
        <v>0</v>
      </c>
      <c r="C43" s="7"/>
      <c r="D43" s="12">
        <f>B43*C43</f>
        <v>0</v>
      </c>
      <c r="E43" s="15"/>
    </row>
    <row r="44" spans="1:5" x14ac:dyDescent="0.2">
      <c r="A44" s="26" t="s">
        <v>36</v>
      </c>
      <c r="B44" s="19">
        <f>IF(B10=1,B16*B6*2+B16*B5,0)</f>
        <v>0</v>
      </c>
      <c r="C44" s="7"/>
      <c r="D44" s="12">
        <f>B58*C44</f>
        <v>0</v>
      </c>
    </row>
    <row r="45" spans="1:5" x14ac:dyDescent="0.2">
      <c r="A45" s="26" t="s">
        <v>37</v>
      </c>
      <c r="B45" s="19">
        <f>IF(B11=1,2*B5+4*B7,0)</f>
        <v>0</v>
      </c>
      <c r="C45" s="7"/>
      <c r="D45" s="12">
        <f t="shared" ref="D45:D58" si="1">B45*C45</f>
        <v>0</v>
      </c>
    </row>
    <row r="46" spans="1:5" x14ac:dyDescent="0.2">
      <c r="A46" s="26" t="s">
        <v>38</v>
      </c>
      <c r="B46" s="19">
        <f>IF(B11=1,B16*B5+B16*B6*2,0)</f>
        <v>0</v>
      </c>
      <c r="C46" s="7"/>
      <c r="D46" s="12">
        <f t="shared" si="1"/>
        <v>0</v>
      </c>
    </row>
    <row r="47" spans="1:5" x14ac:dyDescent="0.2">
      <c r="A47" s="26" t="s">
        <v>39</v>
      </c>
      <c r="B47" s="19">
        <f>IF(B9=1,B16*B5+B16*B6*2,IF(B10=1,0,IF(B12=1,B16*B5+B16*B6*2,IF(B13=1,B16*B5+B16*B6*2,0))))</f>
        <v>24</v>
      </c>
      <c r="C47" s="7"/>
      <c r="D47" s="12">
        <f t="shared" si="1"/>
        <v>0</v>
      </c>
    </row>
    <row r="48" spans="1:5" x14ac:dyDescent="0.2">
      <c r="A48" s="26" t="s">
        <v>33</v>
      </c>
      <c r="B48" s="19">
        <f>(IF(B10=1,B16*B5+B16*B6*2,IF(B11=1,0,0)))</f>
        <v>0</v>
      </c>
      <c r="C48" s="7"/>
      <c r="D48" s="12">
        <f t="shared" si="1"/>
        <v>0</v>
      </c>
    </row>
    <row r="49" spans="1:5" x14ac:dyDescent="0.2">
      <c r="A49" s="26" t="s">
        <v>40</v>
      </c>
      <c r="B49" s="19">
        <f>IF(B12=1,B16*B5+B16*B6*2,0)</f>
        <v>0</v>
      </c>
      <c r="C49" s="7"/>
      <c r="D49" s="12">
        <f t="shared" si="1"/>
        <v>0</v>
      </c>
    </row>
    <row r="50" spans="1:5" x14ac:dyDescent="0.2">
      <c r="A50" s="26" t="s">
        <v>41</v>
      </c>
      <c r="B50" s="19">
        <f>IF(B12=1,1*B5+B7*2,0)</f>
        <v>0</v>
      </c>
      <c r="C50" s="7"/>
      <c r="D50" s="12">
        <f t="shared" si="1"/>
        <v>0</v>
      </c>
    </row>
    <row r="51" spans="1:5" x14ac:dyDescent="0.2">
      <c r="A51" s="26" t="s">
        <v>32</v>
      </c>
      <c r="B51" s="19">
        <f>B50*2+B49</f>
        <v>0</v>
      </c>
      <c r="C51" s="7"/>
      <c r="D51" s="12">
        <f t="shared" si="1"/>
        <v>0</v>
      </c>
    </row>
    <row r="52" spans="1:5" x14ac:dyDescent="0.2">
      <c r="A52" s="26" t="s">
        <v>42</v>
      </c>
      <c r="B52" s="6">
        <f>IF(B10=1,2*B5+4*B7,IF(B11=1,2*B5+4*B7,IF(B13=1,2*B5+4*B7,0)))</f>
        <v>0</v>
      </c>
      <c r="C52" s="7"/>
      <c r="D52" s="12">
        <f t="shared" si="1"/>
        <v>0</v>
      </c>
    </row>
    <row r="53" spans="1:5" x14ac:dyDescent="0.2">
      <c r="A53" s="26" t="s">
        <v>135</v>
      </c>
      <c r="B53" s="19">
        <f>B52</f>
        <v>0</v>
      </c>
      <c r="C53" s="7"/>
      <c r="D53" s="12">
        <f t="shared" si="1"/>
        <v>0</v>
      </c>
    </row>
    <row r="54" spans="1:5" x14ac:dyDescent="0.2">
      <c r="A54" s="26" t="s">
        <v>202</v>
      </c>
      <c r="B54" s="6">
        <f>IF(B10=1,B16*B6*2+B16*B5,IF(B12=1,B16*B6*2+B16*B5,0))</f>
        <v>0</v>
      </c>
      <c r="C54" s="3"/>
      <c r="D54" s="12">
        <f t="shared" si="1"/>
        <v>0</v>
      </c>
    </row>
    <row r="55" spans="1:5" x14ac:dyDescent="0.2">
      <c r="A55" s="26" t="s">
        <v>43</v>
      </c>
      <c r="B55" s="6">
        <f>B49*2*B6+2*B50*B7</f>
        <v>0</v>
      </c>
      <c r="C55" s="7"/>
      <c r="D55" s="12">
        <f t="shared" si="1"/>
        <v>0</v>
      </c>
    </row>
    <row r="56" spans="1:5" x14ac:dyDescent="0.2">
      <c r="A56" s="26" t="s">
        <v>44</v>
      </c>
      <c r="B56" s="6">
        <f>B50*2*B6+B50*2*B7</f>
        <v>0</v>
      </c>
      <c r="C56" s="7"/>
      <c r="D56" s="12">
        <f t="shared" si="1"/>
        <v>0</v>
      </c>
    </row>
    <row r="57" spans="1:5" x14ac:dyDescent="0.2">
      <c r="A57" s="26" t="s">
        <v>45</v>
      </c>
      <c r="B57" s="19">
        <f>IF(B9=1,B41,0)</f>
        <v>12</v>
      </c>
      <c r="C57" s="7"/>
      <c r="D57" s="12">
        <f t="shared" si="1"/>
        <v>0</v>
      </c>
    </row>
    <row r="58" spans="1:5" ht="12" thickBot="1" x14ac:dyDescent="0.25">
      <c r="A58" s="27" t="s">
        <v>46</v>
      </c>
      <c r="B58" s="44">
        <f>IF(B13=1,B16*B6*2+B16*B5+4*B7,0)</f>
        <v>0</v>
      </c>
      <c r="C58" s="11"/>
      <c r="D58" s="13">
        <f t="shared" si="1"/>
        <v>0</v>
      </c>
    </row>
    <row r="59" spans="1:5" ht="12" thickBot="1" x14ac:dyDescent="0.25">
      <c r="A59" s="162"/>
      <c r="B59" s="163"/>
      <c r="C59" s="163"/>
      <c r="D59" s="164"/>
    </row>
    <row r="60" spans="1:5" ht="12.75" x14ac:dyDescent="0.2">
      <c r="A60" s="159" t="s">
        <v>8</v>
      </c>
      <c r="B60" s="160"/>
      <c r="C60" s="160"/>
      <c r="D60" s="203"/>
    </row>
    <row r="61" spans="1:5" x14ac:dyDescent="0.2">
      <c r="A61" s="26" t="s">
        <v>47</v>
      </c>
      <c r="B61" s="19">
        <v>1</v>
      </c>
      <c r="C61" s="7"/>
      <c r="D61" s="12">
        <f>B61*C61</f>
        <v>0</v>
      </c>
    </row>
    <row r="62" spans="1:5" ht="12.75" customHeight="1" x14ac:dyDescent="0.2">
      <c r="A62" s="26" t="s">
        <v>48</v>
      </c>
      <c r="B62" s="19">
        <v>1</v>
      </c>
      <c r="C62" s="7"/>
      <c r="D62" s="12">
        <f>B62*C62</f>
        <v>0</v>
      </c>
    </row>
    <row r="63" spans="1:5" ht="12" thickBot="1" x14ac:dyDescent="0.25">
      <c r="A63" s="26" t="s">
        <v>49</v>
      </c>
      <c r="B63" s="19">
        <v>1</v>
      </c>
      <c r="C63" s="7"/>
      <c r="D63" s="12">
        <f>B63*C63</f>
        <v>0</v>
      </c>
    </row>
    <row r="64" spans="1:5" ht="11.25" customHeight="1" x14ac:dyDescent="0.2">
      <c r="A64" s="26" t="s">
        <v>50</v>
      </c>
      <c r="B64" s="19">
        <v>1</v>
      </c>
      <c r="C64" s="7"/>
      <c r="D64" s="12">
        <f>B64*C64</f>
        <v>0</v>
      </c>
      <c r="E64" s="157" t="s">
        <v>118</v>
      </c>
    </row>
    <row r="65" spans="1:5" ht="12" thickBot="1" x14ac:dyDescent="0.25">
      <c r="A65" s="27" t="s">
        <v>51</v>
      </c>
      <c r="B65" s="44">
        <v>1</v>
      </c>
      <c r="C65" s="11"/>
      <c r="D65" s="13">
        <f>B65*C65</f>
        <v>0</v>
      </c>
      <c r="E65" s="158"/>
    </row>
    <row r="66" spans="1:5" x14ac:dyDescent="0.2">
      <c r="C66" s="2" t="s">
        <v>7</v>
      </c>
      <c r="D66" s="2">
        <f>SUM(D20:D65)</f>
        <v>0</v>
      </c>
    </row>
  </sheetData>
  <mergeCells count="22">
    <mergeCell ref="C12:D12"/>
    <mergeCell ref="A1:D1"/>
    <mergeCell ref="A2:D2"/>
    <mergeCell ref="C3:D3"/>
    <mergeCell ref="C4:D4"/>
    <mergeCell ref="C6:D6"/>
    <mergeCell ref="C14:D14"/>
    <mergeCell ref="E64:E65"/>
    <mergeCell ref="C5:D5"/>
    <mergeCell ref="C17:D17"/>
    <mergeCell ref="A15:D15"/>
    <mergeCell ref="A39:D39"/>
    <mergeCell ref="A40:D40"/>
    <mergeCell ref="A60:D60"/>
    <mergeCell ref="A59:D59"/>
    <mergeCell ref="C16:D16"/>
    <mergeCell ref="C10:D10"/>
    <mergeCell ref="C13:D13"/>
    <mergeCell ref="A8:D8"/>
    <mergeCell ref="C9:D9"/>
    <mergeCell ref="C11:D11"/>
    <mergeCell ref="C7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115" zoomScaleNormal="100"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65" t="s">
        <v>106</v>
      </c>
      <c r="B1" s="166"/>
      <c r="C1" s="166"/>
      <c r="D1" s="166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4</v>
      </c>
      <c r="B3" s="45">
        <v>1</v>
      </c>
      <c r="C3" s="190" t="s">
        <v>10</v>
      </c>
      <c r="D3" s="154"/>
    </row>
    <row r="4" spans="1:8" x14ac:dyDescent="0.2">
      <c r="A4" s="137" t="s">
        <v>1</v>
      </c>
      <c r="B4" s="23">
        <v>1</v>
      </c>
      <c r="C4" s="235" t="s">
        <v>10</v>
      </c>
      <c r="D4" s="184"/>
      <c r="E4" s="14"/>
    </row>
    <row r="5" spans="1:8" x14ac:dyDescent="0.2">
      <c r="A5" s="126" t="s">
        <v>119</v>
      </c>
      <c r="B5" s="22">
        <v>1</v>
      </c>
      <c r="C5" s="221" t="s">
        <v>10</v>
      </c>
      <c r="D5" s="182"/>
      <c r="E5" s="14"/>
    </row>
    <row r="6" spans="1:8" x14ac:dyDescent="0.2">
      <c r="A6" s="126" t="s">
        <v>120</v>
      </c>
      <c r="B6" s="28">
        <v>0</v>
      </c>
      <c r="C6" s="197" t="s">
        <v>10</v>
      </c>
      <c r="D6" s="178"/>
      <c r="E6" s="14"/>
      <c r="F6" s="14"/>
      <c r="G6" s="14"/>
      <c r="H6" s="14"/>
    </row>
    <row r="7" spans="1:8" ht="12" thickBot="1" x14ac:dyDescent="0.25">
      <c r="A7" s="127" t="s">
        <v>153</v>
      </c>
      <c r="B7" s="30">
        <v>0</v>
      </c>
      <c r="C7" s="201" t="s">
        <v>10</v>
      </c>
      <c r="D7" s="202"/>
      <c r="E7" s="14"/>
      <c r="F7" s="14"/>
      <c r="G7" s="14"/>
      <c r="H7" s="14"/>
    </row>
    <row r="8" spans="1:8" ht="12" thickBot="1" x14ac:dyDescent="0.25">
      <c r="A8" s="199" t="s">
        <v>14</v>
      </c>
      <c r="B8" s="179"/>
      <c r="C8" s="179"/>
      <c r="D8" s="200"/>
      <c r="E8" s="14"/>
      <c r="F8" s="14"/>
      <c r="G8" s="14"/>
      <c r="H8" s="14"/>
    </row>
    <row r="9" spans="1:8" x14ac:dyDescent="0.2">
      <c r="A9" s="125" t="s">
        <v>136</v>
      </c>
      <c r="B9" s="29">
        <v>1</v>
      </c>
      <c r="C9" s="180" t="s">
        <v>11</v>
      </c>
      <c r="D9" s="154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83" t="s">
        <v>11</v>
      </c>
      <c r="D10" s="184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81" t="s">
        <v>11</v>
      </c>
      <c r="D11" s="182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83" t="s">
        <v>11</v>
      </c>
      <c r="D12" s="184"/>
      <c r="E12" s="14"/>
      <c r="F12" s="14"/>
      <c r="G12" s="14"/>
      <c r="H12" s="14"/>
    </row>
    <row r="13" spans="1:8" ht="12" thickBot="1" x14ac:dyDescent="0.25">
      <c r="A13" s="127" t="s">
        <v>15</v>
      </c>
      <c r="B13" s="30">
        <v>0</v>
      </c>
      <c r="C13" s="151" t="s">
        <v>11</v>
      </c>
      <c r="D13" s="152"/>
      <c r="F13" s="14"/>
      <c r="G13" s="14"/>
      <c r="H13" s="14"/>
    </row>
    <row r="14" spans="1:8" ht="12" thickBot="1" x14ac:dyDescent="0.25">
      <c r="A14" s="187"/>
      <c r="B14" s="188"/>
      <c r="C14" s="188"/>
      <c r="D14" s="189"/>
      <c r="F14" s="14"/>
      <c r="G14" s="14"/>
      <c r="H14" s="14"/>
    </row>
    <row r="15" spans="1:8" x14ac:dyDescent="0.2">
      <c r="A15" s="32" t="s">
        <v>13</v>
      </c>
      <c r="B15" s="33">
        <f>CEILING((B3-0.1)/0.4,1)+1</f>
        <v>4</v>
      </c>
      <c r="C15" s="149" t="s">
        <v>9</v>
      </c>
      <c r="D15" s="150"/>
      <c r="E15" s="15"/>
      <c r="F15" s="14"/>
      <c r="G15" s="14"/>
      <c r="H15" s="14"/>
    </row>
    <row r="16" spans="1:8" ht="12" thickBot="1" x14ac:dyDescent="0.25">
      <c r="A16" s="34" t="s">
        <v>59</v>
      </c>
      <c r="B16" s="35">
        <f>SUM(B5:B7)</f>
        <v>1</v>
      </c>
      <c r="C16" s="185" t="s">
        <v>9</v>
      </c>
      <c r="D16" s="186"/>
      <c r="E16" s="15"/>
      <c r="F16" s="14"/>
      <c r="G16" s="14"/>
      <c r="H16" s="14"/>
    </row>
    <row r="17" spans="1:8" ht="12" thickBot="1" x14ac:dyDescent="0.25">
      <c r="A17" s="207"/>
      <c r="B17" s="207"/>
      <c r="C17" s="207"/>
      <c r="D17" s="207"/>
      <c r="F17" s="14"/>
      <c r="G17" s="14"/>
      <c r="H17" s="14"/>
    </row>
    <row r="18" spans="1:8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F18" s="14"/>
      <c r="G18" s="14"/>
      <c r="H18" s="14"/>
    </row>
    <row r="19" spans="1:8" x14ac:dyDescent="0.2">
      <c r="A19" s="47" t="s">
        <v>16</v>
      </c>
      <c r="B19" s="19">
        <f>B3*(B5+B6+B7*2)</f>
        <v>1</v>
      </c>
      <c r="C19" s="7"/>
      <c r="D19" s="1">
        <f t="shared" ref="D19:D40" si="0">B19*C19</f>
        <v>0</v>
      </c>
      <c r="F19" s="14"/>
      <c r="G19" s="14"/>
      <c r="H19" s="14"/>
    </row>
    <row r="20" spans="1:8" x14ac:dyDescent="0.2">
      <c r="A20" s="47" t="s">
        <v>17</v>
      </c>
      <c r="B20" s="19">
        <f>B3*(B5+B6+B7*2)</f>
        <v>1</v>
      </c>
      <c r="C20" s="7"/>
      <c r="D20" s="1">
        <f t="shared" si="0"/>
        <v>0</v>
      </c>
      <c r="F20" s="14"/>
      <c r="G20" s="14"/>
      <c r="H20" s="14"/>
    </row>
    <row r="21" spans="1:8" x14ac:dyDescent="0.2">
      <c r="A21" s="47" t="s">
        <v>88</v>
      </c>
      <c r="B21" s="19">
        <f>(B3-0.007)*(B6)</f>
        <v>0</v>
      </c>
      <c r="C21" s="7"/>
      <c r="D21" s="12">
        <f t="shared" si="0"/>
        <v>0</v>
      </c>
      <c r="F21" s="14"/>
      <c r="G21" s="14"/>
      <c r="H21" s="14"/>
    </row>
    <row r="22" spans="1:8" x14ac:dyDescent="0.2">
      <c r="A22" s="47" t="s">
        <v>83</v>
      </c>
      <c r="B22" s="19">
        <f>B3*2*(B5+B6)</f>
        <v>2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47" t="s">
        <v>18</v>
      </c>
      <c r="B23" s="19">
        <f>B3*(B5+B6+B7*2)</f>
        <v>1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47" t="s">
        <v>87</v>
      </c>
      <c r="B24" s="19">
        <f>(B3-0.003)*B16*4</f>
        <v>3.988</v>
      </c>
      <c r="C24" s="7"/>
      <c r="D24" s="12">
        <f t="shared" si="0"/>
        <v>0</v>
      </c>
    </row>
    <row r="25" spans="1:8" x14ac:dyDescent="0.2">
      <c r="A25" s="48" t="s">
        <v>84</v>
      </c>
      <c r="B25" s="19">
        <f>2*(B5+B6)+4*B7</f>
        <v>2</v>
      </c>
      <c r="C25" s="7"/>
      <c r="D25" s="12">
        <f t="shared" si="0"/>
        <v>0</v>
      </c>
    </row>
    <row r="26" spans="1:8" x14ac:dyDescent="0.2">
      <c r="A26" s="47" t="s">
        <v>20</v>
      </c>
      <c r="B26" s="19">
        <f>2*B5</f>
        <v>2</v>
      </c>
      <c r="C26" s="7"/>
      <c r="D26" s="12">
        <f t="shared" si="0"/>
        <v>0</v>
      </c>
    </row>
    <row r="27" spans="1:8" x14ac:dyDescent="0.2">
      <c r="A27" s="47" t="s">
        <v>124</v>
      </c>
      <c r="B27" s="19">
        <f>2*B6+4*B7</f>
        <v>0</v>
      </c>
      <c r="C27" s="7"/>
      <c r="D27" s="12">
        <f t="shared" si="0"/>
        <v>0</v>
      </c>
    </row>
    <row r="28" spans="1:8" x14ac:dyDescent="0.2">
      <c r="A28" s="47" t="s">
        <v>68</v>
      </c>
      <c r="B28" s="19">
        <f>2*B6</f>
        <v>0</v>
      </c>
      <c r="C28" s="7"/>
      <c r="D28" s="12">
        <f t="shared" si="0"/>
        <v>0</v>
      </c>
    </row>
    <row r="29" spans="1:8" x14ac:dyDescent="0.2">
      <c r="A29" s="48" t="s">
        <v>123</v>
      </c>
      <c r="B29" s="19">
        <f>2*(B5+B6)</f>
        <v>2</v>
      </c>
      <c r="C29" s="7"/>
      <c r="D29" s="12">
        <f t="shared" si="0"/>
        <v>0</v>
      </c>
    </row>
    <row r="30" spans="1:8" x14ac:dyDescent="0.2">
      <c r="A30" s="26" t="s">
        <v>111</v>
      </c>
      <c r="B30" s="19">
        <f>2*B5+2*B6+4*B7</f>
        <v>2</v>
      </c>
      <c r="C30" s="7"/>
      <c r="D30" s="12">
        <f t="shared" si="0"/>
        <v>0</v>
      </c>
    </row>
    <row r="31" spans="1:8" x14ac:dyDescent="0.2">
      <c r="A31" s="47" t="s">
        <v>21</v>
      </c>
      <c r="B31" s="19">
        <f>B15*2*(B5+B6)+B15*4*B7</f>
        <v>8</v>
      </c>
      <c r="C31" s="7"/>
      <c r="D31" s="12">
        <f t="shared" si="0"/>
        <v>0</v>
      </c>
    </row>
    <row r="32" spans="1:8" x14ac:dyDescent="0.2">
      <c r="A32" s="48" t="s">
        <v>85</v>
      </c>
      <c r="B32" s="19">
        <f>IF(B8=1,B11*2,0)</f>
        <v>0</v>
      </c>
      <c r="C32" s="7"/>
      <c r="D32" s="12">
        <f t="shared" si="0"/>
        <v>0</v>
      </c>
    </row>
    <row r="33" spans="1:5" x14ac:dyDescent="0.2">
      <c r="A33" s="26" t="s">
        <v>112</v>
      </c>
      <c r="B33" s="19">
        <f>B32</f>
        <v>0</v>
      </c>
      <c r="C33" s="7"/>
      <c r="D33" s="12">
        <f t="shared" si="0"/>
        <v>0</v>
      </c>
    </row>
    <row r="34" spans="1:5" x14ac:dyDescent="0.2">
      <c r="A34" s="47" t="s">
        <v>22</v>
      </c>
      <c r="B34" s="19">
        <f>IF(B9=1,B11*2,0)</f>
        <v>0</v>
      </c>
      <c r="C34" s="7"/>
      <c r="D34" s="12">
        <f t="shared" si="0"/>
        <v>0</v>
      </c>
    </row>
    <row r="35" spans="1:5" x14ac:dyDescent="0.2">
      <c r="A35" s="47" t="s">
        <v>86</v>
      </c>
      <c r="B35" s="19">
        <f>IF(B7=1,B11*2,B33)</f>
        <v>0</v>
      </c>
      <c r="C35" s="7"/>
      <c r="D35" s="12">
        <f t="shared" si="0"/>
        <v>0</v>
      </c>
    </row>
    <row r="36" spans="1:5" x14ac:dyDescent="0.2">
      <c r="A36" s="49" t="s">
        <v>52</v>
      </c>
      <c r="B36" s="19">
        <f>B32</f>
        <v>0</v>
      </c>
      <c r="C36" s="7"/>
      <c r="D36" s="12">
        <f t="shared" si="0"/>
        <v>0</v>
      </c>
      <c r="E36" s="15"/>
    </row>
    <row r="37" spans="1:5" x14ac:dyDescent="0.2">
      <c r="A37" s="49" t="s">
        <v>23</v>
      </c>
      <c r="B37" s="19">
        <f>(IF(B3&lt;=0.8,2,4))*B16</f>
        <v>4</v>
      </c>
      <c r="C37" s="7"/>
      <c r="D37" s="12">
        <f t="shared" si="0"/>
        <v>0</v>
      </c>
      <c r="E37" s="15"/>
    </row>
    <row r="38" spans="1:5" x14ac:dyDescent="0.2">
      <c r="A38" s="47" t="s">
        <v>24</v>
      </c>
      <c r="B38" s="19">
        <f>B37</f>
        <v>4</v>
      </c>
      <c r="C38" s="7"/>
      <c r="D38" s="12">
        <f t="shared" si="0"/>
        <v>0</v>
      </c>
    </row>
    <row r="39" spans="1:5" x14ac:dyDescent="0.2">
      <c r="A39" s="26" t="s">
        <v>25</v>
      </c>
      <c r="B39" s="19">
        <f>B38</f>
        <v>4</v>
      </c>
      <c r="C39" s="7"/>
      <c r="D39" s="12">
        <f t="shared" si="0"/>
        <v>0</v>
      </c>
    </row>
    <row r="40" spans="1:5" x14ac:dyDescent="0.2">
      <c r="A40" s="26" t="s">
        <v>26</v>
      </c>
      <c r="B40" s="19">
        <f>2*B5</f>
        <v>2</v>
      </c>
      <c r="C40" s="7"/>
      <c r="D40" s="12">
        <f t="shared" si="0"/>
        <v>0</v>
      </c>
    </row>
    <row r="41" spans="1:5" ht="12" thickBot="1" x14ac:dyDescent="0.25">
      <c r="A41" s="162"/>
      <c r="B41" s="163"/>
      <c r="C41" s="163"/>
      <c r="D41" s="164"/>
    </row>
    <row r="42" spans="1:5" ht="12.75" x14ac:dyDescent="0.2">
      <c r="A42" s="174" t="s">
        <v>14</v>
      </c>
      <c r="B42" s="175"/>
      <c r="C42" s="175"/>
      <c r="D42" s="176"/>
    </row>
    <row r="43" spans="1:5" x14ac:dyDescent="0.2">
      <c r="A43" s="26" t="s">
        <v>34</v>
      </c>
      <c r="B43" s="19">
        <f>IF(OR(B9=1,B10=1,B11=1,B13=1),2*B5,0)</f>
        <v>2</v>
      </c>
      <c r="C43" s="7"/>
      <c r="D43" s="12">
        <f>B43*C43</f>
        <v>0</v>
      </c>
      <c r="E43" s="15"/>
    </row>
    <row r="44" spans="1:5" x14ac:dyDescent="0.2">
      <c r="A44" s="26" t="s">
        <v>201</v>
      </c>
      <c r="B44" s="19">
        <f>IF(B9=1,2*B5,IF(B10=1,2*B5,IF(B11=1,2*B5,0)))</f>
        <v>2</v>
      </c>
      <c r="C44" s="7"/>
      <c r="D44" s="62">
        <f>B44*C44</f>
        <v>0</v>
      </c>
      <c r="E44" s="15"/>
    </row>
    <row r="45" spans="1:5" x14ac:dyDescent="0.2">
      <c r="A45" s="26" t="s">
        <v>35</v>
      </c>
      <c r="B45" s="19">
        <f>IF(B10=1,(B15+2)*B16,0)</f>
        <v>0</v>
      </c>
      <c r="C45" s="7"/>
      <c r="D45" s="12">
        <f>B45*C45</f>
        <v>0</v>
      </c>
      <c r="E45" s="15"/>
    </row>
    <row r="46" spans="1:5" x14ac:dyDescent="0.2">
      <c r="A46" s="26" t="s">
        <v>36</v>
      </c>
      <c r="B46" s="19">
        <f>IF(B10=1,B15*B6*2+B15*B5+2*B15*B7,0)</f>
        <v>0</v>
      </c>
      <c r="C46" s="7"/>
      <c r="D46" s="12">
        <f>B60*C46</f>
        <v>0</v>
      </c>
    </row>
    <row r="47" spans="1:5" x14ac:dyDescent="0.2">
      <c r="A47" s="26" t="s">
        <v>37</v>
      </c>
      <c r="B47" s="19">
        <f>IF(B11=1,2*B5,0)</f>
        <v>0</v>
      </c>
      <c r="C47" s="7"/>
      <c r="D47" s="12">
        <f t="shared" ref="D47:D60" si="1">B47*C47</f>
        <v>0</v>
      </c>
    </row>
    <row r="48" spans="1:5" x14ac:dyDescent="0.2">
      <c r="A48" s="26" t="s">
        <v>38</v>
      </c>
      <c r="B48" s="19">
        <f>IF(B11=1,B15*B5+B15*B6*2+2*B15*B7,0)</f>
        <v>0</v>
      </c>
      <c r="C48" s="7"/>
      <c r="D48" s="12">
        <f t="shared" si="1"/>
        <v>0</v>
      </c>
    </row>
    <row r="49" spans="1:4" x14ac:dyDescent="0.2">
      <c r="A49" s="26" t="s">
        <v>39</v>
      </c>
      <c r="B49" s="19">
        <f>IF(B9=1,B15*B5+B15*B6*2+B15*B7*2,IF(B10=1,0,IF(B12=1,B15*B5+B15*B6*2+2*B15*B7,IF(B13=1,B15*B5+B15*B6*2+2*B15*B7,0))))</f>
        <v>4</v>
      </c>
      <c r="C49" s="7"/>
      <c r="D49" s="12">
        <f t="shared" si="1"/>
        <v>0</v>
      </c>
    </row>
    <row r="50" spans="1:4" x14ac:dyDescent="0.2">
      <c r="A50" s="26" t="s">
        <v>33</v>
      </c>
      <c r="B50" s="19">
        <f>(IF(B10=1,B15*B5+B15*B6*2+B15*2*B7,IF(B11=1,0,0)))</f>
        <v>0</v>
      </c>
      <c r="C50" s="7"/>
      <c r="D50" s="12">
        <f t="shared" si="1"/>
        <v>0</v>
      </c>
    </row>
    <row r="51" spans="1:4" x14ac:dyDescent="0.2">
      <c r="A51" s="26" t="s">
        <v>40</v>
      </c>
      <c r="B51" s="19">
        <f>IF(B12=1,B15*B5+B15*B6*2+2*B15*B7,0)</f>
        <v>0</v>
      </c>
      <c r="C51" s="7"/>
      <c r="D51" s="12">
        <f t="shared" si="1"/>
        <v>0</v>
      </c>
    </row>
    <row r="52" spans="1:4" x14ac:dyDescent="0.2">
      <c r="A52" s="26" t="s">
        <v>41</v>
      </c>
      <c r="B52" s="19">
        <f>IF(B12=1,1*B5,0)</f>
        <v>0</v>
      </c>
      <c r="C52" s="7"/>
      <c r="D52" s="12">
        <f t="shared" si="1"/>
        <v>0</v>
      </c>
    </row>
    <row r="53" spans="1:4" x14ac:dyDescent="0.2">
      <c r="A53" s="26" t="s">
        <v>32</v>
      </c>
      <c r="B53" s="19">
        <f>B52*2+B51</f>
        <v>0</v>
      </c>
      <c r="C53" s="7"/>
      <c r="D53" s="12">
        <f t="shared" si="1"/>
        <v>0</v>
      </c>
    </row>
    <row r="54" spans="1:4" x14ac:dyDescent="0.2">
      <c r="A54" s="26" t="s">
        <v>42</v>
      </c>
      <c r="B54" s="6">
        <f>IF(B10=1,2*B5,IF(B11=1,2*B5,IF(B13=1,2*B5,0)))</f>
        <v>0</v>
      </c>
      <c r="C54" s="7"/>
      <c r="D54" s="12">
        <f t="shared" si="1"/>
        <v>0</v>
      </c>
    </row>
    <row r="55" spans="1:4" x14ac:dyDescent="0.2">
      <c r="A55" s="26" t="s">
        <v>135</v>
      </c>
      <c r="B55" s="19">
        <f>B54</f>
        <v>0</v>
      </c>
      <c r="C55" s="7"/>
      <c r="D55" s="12">
        <f t="shared" si="1"/>
        <v>0</v>
      </c>
    </row>
    <row r="56" spans="1:4" x14ac:dyDescent="0.2">
      <c r="A56" s="26" t="s">
        <v>202</v>
      </c>
      <c r="B56" s="6">
        <f>IF(B10=1,B15*B6*2+B15*B5+2*B15*B7,IF(B12=1,B15*B6*2+B15*B5+2*B15*B7,0))</f>
        <v>0</v>
      </c>
      <c r="C56" s="3"/>
      <c r="D56" s="12">
        <f t="shared" si="1"/>
        <v>0</v>
      </c>
    </row>
    <row r="57" spans="1:4" x14ac:dyDescent="0.2">
      <c r="A57" s="26" t="s">
        <v>43</v>
      </c>
      <c r="B57" s="6">
        <f>B51*2*B6+2*B52*B7</f>
        <v>0</v>
      </c>
      <c r="C57" s="7"/>
      <c r="D57" s="12">
        <f t="shared" si="1"/>
        <v>0</v>
      </c>
    </row>
    <row r="58" spans="1:4" x14ac:dyDescent="0.2">
      <c r="A58" s="26" t="s">
        <v>44</v>
      </c>
      <c r="B58" s="6">
        <f>B52*2*B6+B52*2*B7</f>
        <v>0</v>
      </c>
      <c r="C58" s="7"/>
      <c r="D58" s="12">
        <f t="shared" si="1"/>
        <v>0</v>
      </c>
    </row>
    <row r="59" spans="1:4" x14ac:dyDescent="0.2">
      <c r="A59" s="26" t="s">
        <v>45</v>
      </c>
      <c r="B59" s="19">
        <f>IF(B9=1,B43,0)</f>
        <v>2</v>
      </c>
      <c r="C59" s="7"/>
      <c r="D59" s="12">
        <f t="shared" si="1"/>
        <v>0</v>
      </c>
    </row>
    <row r="60" spans="1:4" ht="12" thickBot="1" x14ac:dyDescent="0.25">
      <c r="A60" s="27" t="s">
        <v>46</v>
      </c>
      <c r="B60" s="44">
        <f>IF(B13=1,B15*B6*2+B15*B5+4*B7,0)</f>
        <v>0</v>
      </c>
      <c r="C60" s="11"/>
      <c r="D60" s="13">
        <f t="shared" si="1"/>
        <v>0</v>
      </c>
    </row>
    <row r="61" spans="1:4" ht="12" thickBot="1" x14ac:dyDescent="0.25">
      <c r="A61" s="162"/>
      <c r="B61" s="163"/>
      <c r="C61" s="163"/>
      <c r="D61" s="164"/>
    </row>
    <row r="62" spans="1:4" ht="12.75" x14ac:dyDescent="0.2">
      <c r="A62" s="159" t="s">
        <v>8</v>
      </c>
      <c r="B62" s="160"/>
      <c r="C62" s="160"/>
      <c r="D62" s="203"/>
    </row>
    <row r="63" spans="1:4" x14ac:dyDescent="0.2">
      <c r="A63" s="26" t="s">
        <v>47</v>
      </c>
      <c r="B63" s="19">
        <v>1</v>
      </c>
      <c r="C63" s="7"/>
      <c r="D63" s="12">
        <f>B63*C63</f>
        <v>0</v>
      </c>
    </row>
    <row r="64" spans="1:4" ht="12.75" customHeight="1" x14ac:dyDescent="0.2">
      <c r="A64" s="26" t="s">
        <v>48</v>
      </c>
      <c r="B64" s="19">
        <v>1</v>
      </c>
      <c r="C64" s="7"/>
      <c r="D64" s="12">
        <f>B64*C64</f>
        <v>0</v>
      </c>
    </row>
    <row r="65" spans="1:5" ht="12" thickBot="1" x14ac:dyDescent="0.25">
      <c r="A65" s="26" t="s">
        <v>49</v>
      </c>
      <c r="B65" s="19">
        <v>1</v>
      </c>
      <c r="C65" s="7"/>
      <c r="D65" s="12">
        <f>B65*C65</f>
        <v>0</v>
      </c>
    </row>
    <row r="66" spans="1:5" ht="11.25" customHeight="1" x14ac:dyDescent="0.2">
      <c r="A66" s="26" t="s">
        <v>50</v>
      </c>
      <c r="B66" s="19">
        <v>1</v>
      </c>
      <c r="C66" s="7"/>
      <c r="D66" s="12">
        <f>B66*C66</f>
        <v>0</v>
      </c>
      <c r="E66" s="157" t="s">
        <v>125</v>
      </c>
    </row>
    <row r="67" spans="1:5" ht="12" thickBot="1" x14ac:dyDescent="0.25">
      <c r="A67" s="27" t="s">
        <v>51</v>
      </c>
      <c r="B67" s="44">
        <v>1</v>
      </c>
      <c r="C67" s="11"/>
      <c r="D67" s="13">
        <f>B67*C67</f>
        <v>0</v>
      </c>
      <c r="E67" s="158"/>
    </row>
    <row r="68" spans="1:5" x14ac:dyDescent="0.2">
      <c r="C68" s="2" t="s">
        <v>7</v>
      </c>
      <c r="D68" s="2">
        <f>SUM(D19:D67)</f>
        <v>0</v>
      </c>
    </row>
  </sheetData>
  <mergeCells count="22">
    <mergeCell ref="C15:D15"/>
    <mergeCell ref="A17:D17"/>
    <mergeCell ref="A1:D1"/>
    <mergeCell ref="A2:D2"/>
    <mergeCell ref="C3:D3"/>
    <mergeCell ref="C4:D4"/>
    <mergeCell ref="E66:E67"/>
    <mergeCell ref="C5:D5"/>
    <mergeCell ref="C16:D16"/>
    <mergeCell ref="A14:D14"/>
    <mergeCell ref="A41:D41"/>
    <mergeCell ref="A42:D42"/>
    <mergeCell ref="C10:D10"/>
    <mergeCell ref="C6:D6"/>
    <mergeCell ref="C12:D12"/>
    <mergeCell ref="C13:D13"/>
    <mergeCell ref="A8:D8"/>
    <mergeCell ref="C9:D9"/>
    <mergeCell ref="C11:D11"/>
    <mergeCell ref="C7:D7"/>
    <mergeCell ref="A62:D62"/>
    <mergeCell ref="A61:D6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4" zoomScale="115" zoomScaleNormal="100" workbookViewId="0">
      <selection activeCell="A30" sqref="A30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65" t="s">
        <v>128</v>
      </c>
      <c r="B1" s="166"/>
      <c r="C1" s="166"/>
      <c r="D1" s="166"/>
    </row>
    <row r="2" spans="1:5" ht="15" thickBot="1" x14ac:dyDescent="0.25">
      <c r="A2" s="167" t="s">
        <v>2</v>
      </c>
      <c r="B2" s="168"/>
      <c r="C2" s="168"/>
      <c r="D2" s="169"/>
    </row>
    <row r="3" spans="1:5" x14ac:dyDescent="0.2">
      <c r="A3" s="136" t="s">
        <v>4</v>
      </c>
      <c r="B3" s="5">
        <v>1</v>
      </c>
      <c r="C3" s="220" t="s">
        <v>10</v>
      </c>
      <c r="D3" s="171"/>
    </row>
    <row r="4" spans="1:5" x14ac:dyDescent="0.2">
      <c r="A4" s="137" t="s">
        <v>1</v>
      </c>
      <c r="B4" s="22">
        <v>1</v>
      </c>
      <c r="C4" s="221" t="s">
        <v>10</v>
      </c>
      <c r="D4" s="182"/>
    </row>
    <row r="5" spans="1:5" ht="12" thickBot="1" x14ac:dyDescent="0.25">
      <c r="A5" s="127" t="s">
        <v>133</v>
      </c>
      <c r="B5" s="50">
        <v>1</v>
      </c>
      <c r="C5" s="227" t="s">
        <v>10</v>
      </c>
      <c r="D5" s="228"/>
    </row>
    <row r="6" spans="1:5" ht="12" thickBot="1" x14ac:dyDescent="0.25">
      <c r="A6" s="179" t="s">
        <v>14</v>
      </c>
      <c r="B6" s="179"/>
      <c r="C6" s="179"/>
      <c r="D6" s="179"/>
    </row>
    <row r="7" spans="1:5" x14ac:dyDescent="0.2">
      <c r="A7" s="125" t="s">
        <v>136</v>
      </c>
      <c r="B7" s="29">
        <v>1</v>
      </c>
      <c r="C7" s="180" t="s">
        <v>11</v>
      </c>
      <c r="D7" s="154"/>
    </row>
    <row r="8" spans="1:5" x14ac:dyDescent="0.2">
      <c r="A8" s="126" t="s">
        <v>31</v>
      </c>
      <c r="B8" s="28">
        <v>0</v>
      </c>
      <c r="C8" s="183" t="s">
        <v>11</v>
      </c>
      <c r="D8" s="184"/>
    </row>
    <row r="9" spans="1:5" x14ac:dyDescent="0.2">
      <c r="A9" s="126" t="s">
        <v>30</v>
      </c>
      <c r="B9" s="24">
        <v>0</v>
      </c>
      <c r="C9" s="181" t="s">
        <v>11</v>
      </c>
      <c r="D9" s="182"/>
    </row>
    <row r="10" spans="1:5" ht="12" thickBot="1" x14ac:dyDescent="0.25">
      <c r="A10" s="134" t="s">
        <v>278</v>
      </c>
      <c r="B10" s="28">
        <v>0</v>
      </c>
      <c r="C10" s="183" t="s">
        <v>11</v>
      </c>
      <c r="D10" s="184"/>
    </row>
    <row r="11" spans="1:5" ht="12" thickBot="1" x14ac:dyDescent="0.25">
      <c r="A11" s="187"/>
      <c r="B11" s="188"/>
      <c r="C11" s="188"/>
      <c r="D11" s="189"/>
    </row>
    <row r="12" spans="1:5" ht="12" thickBot="1" x14ac:dyDescent="0.25">
      <c r="A12" s="32" t="s">
        <v>13</v>
      </c>
      <c r="B12" s="33">
        <f>CEILING((B3-0.1)/0.4,1)+1</f>
        <v>4</v>
      </c>
      <c r="C12" s="149" t="s">
        <v>9</v>
      </c>
      <c r="D12" s="150"/>
      <c r="E12" s="15"/>
    </row>
    <row r="13" spans="1:5" ht="12.75" x14ac:dyDescent="0.2">
      <c r="A13" s="109" t="s">
        <v>5</v>
      </c>
      <c r="B13" s="110" t="s">
        <v>0</v>
      </c>
      <c r="C13" s="9" t="s">
        <v>3</v>
      </c>
      <c r="D13" s="111" t="s">
        <v>6</v>
      </c>
    </row>
    <row r="14" spans="1:5" x14ac:dyDescent="0.2">
      <c r="A14" s="26" t="s">
        <v>16</v>
      </c>
      <c r="B14" s="19">
        <f>B3*B5</f>
        <v>1</v>
      </c>
      <c r="C14" s="7"/>
      <c r="D14" s="1">
        <f t="shared" ref="D14:D30" si="0">B14*C14</f>
        <v>0</v>
      </c>
    </row>
    <row r="15" spans="1:5" x14ac:dyDescent="0.2">
      <c r="A15" s="26" t="s">
        <v>17</v>
      </c>
      <c r="B15" s="19">
        <f>B3*B5</f>
        <v>1</v>
      </c>
      <c r="C15" s="7"/>
      <c r="D15" s="1">
        <f t="shared" si="0"/>
        <v>0</v>
      </c>
    </row>
    <row r="16" spans="1:5" x14ac:dyDescent="0.2">
      <c r="A16" s="26" t="s">
        <v>18</v>
      </c>
      <c r="B16" s="19">
        <f>B3*2*B5</f>
        <v>2</v>
      </c>
      <c r="C16" s="7"/>
      <c r="D16" s="112">
        <f t="shared" si="0"/>
        <v>0</v>
      </c>
    </row>
    <row r="17" spans="1:5" x14ac:dyDescent="0.2">
      <c r="A17" s="26" t="s">
        <v>87</v>
      </c>
      <c r="B17" s="19">
        <f>2*B3*B5</f>
        <v>2</v>
      </c>
      <c r="C17" s="7"/>
      <c r="D17" s="112">
        <f t="shared" si="0"/>
        <v>0</v>
      </c>
    </row>
    <row r="18" spans="1:5" x14ac:dyDescent="0.2">
      <c r="A18" s="26" t="s">
        <v>19</v>
      </c>
      <c r="B18" s="19">
        <f>2*B5</f>
        <v>2</v>
      </c>
      <c r="C18" s="7"/>
      <c r="D18" s="112">
        <f t="shared" si="0"/>
        <v>0</v>
      </c>
    </row>
    <row r="19" spans="1:5" x14ac:dyDescent="0.2">
      <c r="A19" s="26" t="s">
        <v>129</v>
      </c>
      <c r="B19" s="19">
        <f>2*B5</f>
        <v>2</v>
      </c>
      <c r="C19" s="7"/>
      <c r="D19" s="112">
        <f t="shared" si="0"/>
        <v>0</v>
      </c>
    </row>
    <row r="20" spans="1:5" x14ac:dyDescent="0.2">
      <c r="A20" s="26" t="s">
        <v>130</v>
      </c>
      <c r="B20" s="19">
        <f>2*B5</f>
        <v>2</v>
      </c>
      <c r="C20" s="7"/>
      <c r="D20" s="112">
        <f t="shared" si="0"/>
        <v>0</v>
      </c>
    </row>
    <row r="21" spans="1:5" x14ac:dyDescent="0.2">
      <c r="A21" s="26" t="s">
        <v>21</v>
      </c>
      <c r="B21" s="19">
        <f>B12*3*B5</f>
        <v>12</v>
      </c>
      <c r="C21" s="7"/>
      <c r="D21" s="112">
        <f t="shared" si="0"/>
        <v>0</v>
      </c>
    </row>
    <row r="22" spans="1:5" x14ac:dyDescent="0.2">
      <c r="A22" s="26" t="s">
        <v>131</v>
      </c>
      <c r="B22" s="19">
        <f>2*B5</f>
        <v>2</v>
      </c>
      <c r="C22" s="7"/>
      <c r="D22" s="112">
        <f t="shared" si="0"/>
        <v>0</v>
      </c>
    </row>
    <row r="23" spans="1:5" x14ac:dyDescent="0.2">
      <c r="A23" s="26" t="s">
        <v>132</v>
      </c>
      <c r="B23" s="19">
        <f>2*B5</f>
        <v>2</v>
      </c>
      <c r="C23" s="7"/>
      <c r="D23" s="112">
        <f t="shared" si="0"/>
        <v>0</v>
      </c>
    </row>
    <row r="24" spans="1:5" x14ac:dyDescent="0.2">
      <c r="A24" s="26" t="s">
        <v>112</v>
      </c>
      <c r="B24" s="19">
        <f>B5</f>
        <v>1</v>
      </c>
      <c r="C24" s="7"/>
      <c r="D24" s="112">
        <f t="shared" si="0"/>
        <v>0</v>
      </c>
    </row>
    <row r="25" spans="1:5" x14ac:dyDescent="0.2">
      <c r="A25" s="20" t="s">
        <v>52</v>
      </c>
      <c r="B25" s="19">
        <f>(IF(B12&lt;=4,(B3+B4+0.05-0.1+0.2)*2+(B3+B4+0.2)*2,IF(B12=5,(2*B3+B4+0.05-0.1+0.2)*2+(B3+B4+0.2)*4,(2*B3+B4+0.05-0.1+0.2)*2+(B3+B4+0.2)*2+(((B3-0.1)*4/5+0.1)+B4+0.2)*2)))*B5</f>
        <v>8.6999999999999993</v>
      </c>
      <c r="C25" s="7"/>
      <c r="D25" s="112">
        <f t="shared" si="0"/>
        <v>0</v>
      </c>
      <c r="E25" s="15"/>
    </row>
    <row r="26" spans="1:5" x14ac:dyDescent="0.2">
      <c r="A26" s="20" t="s">
        <v>139</v>
      </c>
      <c r="B26" s="19">
        <f>(B4*3+2*B3+0.2)*B5</f>
        <v>5.2</v>
      </c>
      <c r="C26" s="7"/>
      <c r="D26" s="112">
        <f t="shared" si="0"/>
        <v>0</v>
      </c>
      <c r="E26" s="15"/>
    </row>
    <row r="27" spans="1:5" x14ac:dyDescent="0.2">
      <c r="A27" s="20" t="s">
        <v>23</v>
      </c>
      <c r="B27" s="19">
        <f>(IF(B3&lt;=0.8,1,2))*B5</f>
        <v>2</v>
      </c>
      <c r="C27" s="7"/>
      <c r="D27" s="112">
        <f t="shared" si="0"/>
        <v>0</v>
      </c>
      <c r="E27" s="15"/>
    </row>
    <row r="28" spans="1:5" x14ac:dyDescent="0.2">
      <c r="A28" s="26" t="s">
        <v>24</v>
      </c>
      <c r="B28" s="19">
        <f>(IF(B3&lt;=0.8,1,2))*B5</f>
        <v>2</v>
      </c>
      <c r="C28" s="7"/>
      <c r="D28" s="112">
        <f t="shared" si="0"/>
        <v>0</v>
      </c>
    </row>
    <row r="29" spans="1:5" x14ac:dyDescent="0.2">
      <c r="A29" s="26" t="s">
        <v>25</v>
      </c>
      <c r="B29" s="19">
        <f>(IF(B3&lt;=0.8,1,2))*B5</f>
        <v>2</v>
      </c>
      <c r="C29" s="7"/>
      <c r="D29" s="112">
        <f t="shared" si="0"/>
        <v>0</v>
      </c>
    </row>
    <row r="30" spans="1:5" x14ac:dyDescent="0.2">
      <c r="A30" s="26" t="s">
        <v>278</v>
      </c>
      <c r="B30" s="19">
        <f>IF(B10=1,B4*2,0)</f>
        <v>0</v>
      </c>
      <c r="C30" s="7"/>
      <c r="D30" s="112">
        <f t="shared" si="0"/>
        <v>0</v>
      </c>
    </row>
    <row r="31" spans="1:5" ht="12" thickBot="1" x14ac:dyDescent="0.25">
      <c r="A31" s="194"/>
      <c r="B31" s="195"/>
      <c r="C31" s="195"/>
      <c r="D31" s="196"/>
    </row>
    <row r="32" spans="1:5" ht="12.75" x14ac:dyDescent="0.2">
      <c r="A32" s="174" t="s">
        <v>14</v>
      </c>
      <c r="B32" s="175"/>
      <c r="C32" s="175"/>
      <c r="D32" s="176"/>
    </row>
    <row r="33" spans="1:5" x14ac:dyDescent="0.2">
      <c r="A33" s="26" t="s">
        <v>35</v>
      </c>
      <c r="B33" s="19">
        <f>(IF(B8=1,B12*2,0))*B5</f>
        <v>0</v>
      </c>
      <c r="C33" s="7"/>
      <c r="D33" s="12">
        <f>B33*C33</f>
        <v>0</v>
      </c>
      <c r="E33" s="15"/>
    </row>
    <row r="34" spans="1:5" x14ac:dyDescent="0.2">
      <c r="A34" s="26" t="s">
        <v>36</v>
      </c>
      <c r="B34" s="19">
        <f>B33</f>
        <v>0</v>
      </c>
      <c r="C34" s="7"/>
      <c r="D34" s="12">
        <f>B34*C34</f>
        <v>0</v>
      </c>
    </row>
    <row r="35" spans="1:5" x14ac:dyDescent="0.2">
      <c r="A35" s="26" t="s">
        <v>38</v>
      </c>
      <c r="B35" s="19">
        <f>(IF(B9=1,B12*2,0))*B5</f>
        <v>0</v>
      </c>
      <c r="C35" s="7"/>
      <c r="D35" s="12">
        <f>B35*C35</f>
        <v>0</v>
      </c>
    </row>
    <row r="36" spans="1:5" x14ac:dyDescent="0.2">
      <c r="A36" s="26" t="s">
        <v>134</v>
      </c>
      <c r="B36" s="19">
        <f>(IF(B7=1,B12*2,B34))*B5</f>
        <v>8</v>
      </c>
      <c r="C36" s="7"/>
      <c r="D36" s="12">
        <f>B36*C36</f>
        <v>0</v>
      </c>
    </row>
    <row r="37" spans="1:5" x14ac:dyDescent="0.2">
      <c r="A37" s="26" t="s">
        <v>202</v>
      </c>
      <c r="B37" s="6">
        <f>B33</f>
        <v>0</v>
      </c>
      <c r="C37" s="3"/>
      <c r="D37" s="12">
        <f>B37*C37</f>
        <v>0</v>
      </c>
    </row>
    <row r="38" spans="1:5" ht="12" thickBot="1" x14ac:dyDescent="0.25">
      <c r="A38" s="162"/>
      <c r="B38" s="163"/>
      <c r="C38" s="163"/>
      <c r="D38" s="164"/>
    </row>
    <row r="39" spans="1:5" ht="12.75" x14ac:dyDescent="0.2">
      <c r="A39" s="159" t="s">
        <v>8</v>
      </c>
      <c r="B39" s="160"/>
      <c r="C39" s="160"/>
      <c r="D39" s="203"/>
    </row>
    <row r="40" spans="1:5" x14ac:dyDescent="0.2">
      <c r="A40" s="26" t="s">
        <v>47</v>
      </c>
      <c r="B40" s="19">
        <v>1</v>
      </c>
      <c r="C40" s="7"/>
      <c r="D40" s="12">
        <f>B40*C40</f>
        <v>0</v>
      </c>
    </row>
    <row r="41" spans="1:5" ht="12.75" customHeight="1" x14ac:dyDescent="0.2">
      <c r="A41" s="26" t="s">
        <v>48</v>
      </c>
      <c r="B41" s="19">
        <v>1</v>
      </c>
      <c r="C41" s="7"/>
      <c r="D41" s="12">
        <f>B41*C41</f>
        <v>0</v>
      </c>
    </row>
    <row r="42" spans="1:5" ht="12" thickBot="1" x14ac:dyDescent="0.25">
      <c r="A42" s="26" t="s">
        <v>49</v>
      </c>
      <c r="B42" s="19">
        <v>1</v>
      </c>
      <c r="C42" s="7"/>
      <c r="D42" s="12">
        <f>B42*C42</f>
        <v>0</v>
      </c>
    </row>
    <row r="43" spans="1:5" x14ac:dyDescent="0.2">
      <c r="A43" s="26" t="s">
        <v>50</v>
      </c>
      <c r="B43" s="19">
        <v>1</v>
      </c>
      <c r="C43" s="7"/>
      <c r="D43" s="12">
        <f>B43*C43</f>
        <v>0</v>
      </c>
      <c r="E43" s="157" t="s">
        <v>79</v>
      </c>
    </row>
    <row r="44" spans="1:5" ht="12" thickBot="1" x14ac:dyDescent="0.25">
      <c r="A44" s="27" t="s">
        <v>51</v>
      </c>
      <c r="B44" s="44">
        <v>1</v>
      </c>
      <c r="C44" s="11"/>
      <c r="D44" s="13">
        <f>B44*C44</f>
        <v>0</v>
      </c>
      <c r="E44" s="242"/>
    </row>
    <row r="45" spans="1:5" x14ac:dyDescent="0.2">
      <c r="C45" s="2" t="s">
        <v>7</v>
      </c>
      <c r="D45" s="2">
        <f>SUM(D14:D44)</f>
        <v>0</v>
      </c>
    </row>
  </sheetData>
  <mergeCells count="17">
    <mergeCell ref="A11:D11"/>
    <mergeCell ref="E43:E44"/>
    <mergeCell ref="A31:D31"/>
    <mergeCell ref="A32:D32"/>
    <mergeCell ref="A39:D39"/>
    <mergeCell ref="A38:D38"/>
    <mergeCell ref="C12:D12"/>
    <mergeCell ref="C10:D10"/>
    <mergeCell ref="C9:D9"/>
    <mergeCell ref="C8:D8"/>
    <mergeCell ref="A1:D1"/>
    <mergeCell ref="A2:D2"/>
    <mergeCell ref="C3:D3"/>
    <mergeCell ref="C4:D4"/>
    <mergeCell ref="C5:D5"/>
    <mergeCell ref="A6:D6"/>
    <mergeCell ref="C7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115" zoomScaleNormal="100" workbookViewId="0">
      <selection activeCell="A30" sqref="A30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65" t="s">
        <v>140</v>
      </c>
      <c r="B1" s="166"/>
      <c r="C1" s="166"/>
      <c r="D1" s="166"/>
    </row>
    <row r="2" spans="1:5" ht="15" thickBot="1" x14ac:dyDescent="0.25">
      <c r="A2" s="167" t="s">
        <v>2</v>
      </c>
      <c r="B2" s="168"/>
      <c r="C2" s="168"/>
      <c r="D2" s="169"/>
    </row>
    <row r="3" spans="1:5" x14ac:dyDescent="0.2">
      <c r="A3" s="136" t="s">
        <v>4</v>
      </c>
      <c r="B3" s="5">
        <v>1</v>
      </c>
      <c r="C3" s="220" t="s">
        <v>10</v>
      </c>
      <c r="D3" s="171"/>
    </row>
    <row r="4" spans="1:5" x14ac:dyDescent="0.2">
      <c r="A4" s="137" t="s">
        <v>1</v>
      </c>
      <c r="B4" s="22">
        <v>1</v>
      </c>
      <c r="C4" s="221" t="s">
        <v>10</v>
      </c>
      <c r="D4" s="182"/>
    </row>
    <row r="5" spans="1:5" ht="12" thickBot="1" x14ac:dyDescent="0.25">
      <c r="A5" s="127" t="s">
        <v>133</v>
      </c>
      <c r="B5" s="50">
        <v>0</v>
      </c>
      <c r="C5" s="227" t="s">
        <v>10</v>
      </c>
      <c r="D5" s="228"/>
    </row>
    <row r="6" spans="1:5" ht="12" thickBot="1" x14ac:dyDescent="0.25">
      <c r="A6" s="179" t="s">
        <v>136</v>
      </c>
      <c r="B6" s="179"/>
      <c r="C6" s="179"/>
      <c r="D6" s="179"/>
    </row>
    <row r="7" spans="1:5" x14ac:dyDescent="0.2">
      <c r="A7" s="125" t="s">
        <v>136</v>
      </c>
      <c r="B7" s="29">
        <v>1</v>
      </c>
      <c r="C7" s="180" t="s">
        <v>11</v>
      </c>
      <c r="D7" s="154"/>
    </row>
    <row r="8" spans="1:5" x14ac:dyDescent="0.2">
      <c r="A8" s="126" t="s">
        <v>31</v>
      </c>
      <c r="B8" s="28">
        <v>0</v>
      </c>
      <c r="C8" s="183" t="s">
        <v>11</v>
      </c>
      <c r="D8" s="184"/>
    </row>
    <row r="9" spans="1:5" x14ac:dyDescent="0.2">
      <c r="A9" s="145" t="s">
        <v>30</v>
      </c>
      <c r="B9" s="144">
        <v>0</v>
      </c>
      <c r="C9" s="252" t="s">
        <v>11</v>
      </c>
      <c r="D9" s="253"/>
    </row>
    <row r="10" spans="1:5" x14ac:dyDescent="0.2">
      <c r="A10" s="135" t="s">
        <v>278</v>
      </c>
      <c r="B10" s="28">
        <v>0</v>
      </c>
      <c r="C10" s="183" t="s">
        <v>11</v>
      </c>
      <c r="D10" s="184"/>
    </row>
    <row r="11" spans="1:5" s="55" customFormat="1" ht="12" thickBot="1" x14ac:dyDescent="0.25">
      <c r="A11" s="249"/>
      <c r="B11" s="250"/>
      <c r="C11" s="250"/>
      <c r="D11" s="251"/>
    </row>
    <row r="12" spans="1:5" ht="12" thickBot="1" x14ac:dyDescent="0.25">
      <c r="A12" s="56" t="s">
        <v>13</v>
      </c>
      <c r="B12" s="57">
        <f>CEILING((B3-0.1)/0.4,1)+1</f>
        <v>4</v>
      </c>
      <c r="C12" s="247" t="s">
        <v>9</v>
      </c>
      <c r="D12" s="248"/>
      <c r="E12" s="15"/>
    </row>
    <row r="13" spans="1:5" ht="12.75" x14ac:dyDescent="0.2">
      <c r="A13" s="8" t="s">
        <v>5</v>
      </c>
      <c r="B13" s="25" t="s">
        <v>0</v>
      </c>
      <c r="C13" s="9" t="s">
        <v>3</v>
      </c>
      <c r="D13" s="10" t="s">
        <v>6</v>
      </c>
    </row>
    <row r="14" spans="1:5" x14ac:dyDescent="0.2">
      <c r="A14" s="26" t="s">
        <v>16</v>
      </c>
      <c r="B14" s="19">
        <f>B3*B5</f>
        <v>0</v>
      </c>
      <c r="C14" s="7"/>
      <c r="D14" s="1">
        <f t="shared" ref="D14:D30" si="0">B14*C14</f>
        <v>0</v>
      </c>
    </row>
    <row r="15" spans="1:5" x14ac:dyDescent="0.2">
      <c r="A15" s="26" t="s">
        <v>17</v>
      </c>
      <c r="B15" s="19">
        <f>B3*B5</f>
        <v>0</v>
      </c>
      <c r="C15" s="7"/>
      <c r="D15" s="1">
        <f t="shared" si="0"/>
        <v>0</v>
      </c>
    </row>
    <row r="16" spans="1:5" x14ac:dyDescent="0.2">
      <c r="A16" s="26" t="s">
        <v>18</v>
      </c>
      <c r="B16" s="19">
        <f>B3*2*B5</f>
        <v>0</v>
      </c>
      <c r="C16" s="7"/>
      <c r="D16" s="12">
        <f t="shared" si="0"/>
        <v>0</v>
      </c>
    </row>
    <row r="17" spans="1:5" x14ac:dyDescent="0.2">
      <c r="A17" s="26" t="s">
        <v>87</v>
      </c>
      <c r="B17" s="19">
        <f>2*B3*B5</f>
        <v>0</v>
      </c>
      <c r="C17" s="7"/>
      <c r="D17" s="12">
        <f t="shared" si="0"/>
        <v>0</v>
      </c>
    </row>
    <row r="18" spans="1:5" x14ac:dyDescent="0.2">
      <c r="A18" s="26" t="s">
        <v>141</v>
      </c>
      <c r="B18" s="19">
        <f>B5</f>
        <v>0</v>
      </c>
      <c r="C18" s="7"/>
      <c r="D18" s="12">
        <f t="shared" si="0"/>
        <v>0</v>
      </c>
    </row>
    <row r="19" spans="1:5" x14ac:dyDescent="0.2">
      <c r="A19" s="26" t="s">
        <v>19</v>
      </c>
      <c r="B19" s="19">
        <f>B5</f>
        <v>0</v>
      </c>
      <c r="C19" s="7"/>
      <c r="D19" s="12">
        <f t="shared" si="0"/>
        <v>0</v>
      </c>
    </row>
    <row r="20" spans="1:5" x14ac:dyDescent="0.2">
      <c r="A20" s="26" t="s">
        <v>130</v>
      </c>
      <c r="B20" s="19">
        <f>2*B5</f>
        <v>0</v>
      </c>
      <c r="C20" s="7"/>
      <c r="D20" s="12">
        <f t="shared" si="0"/>
        <v>0</v>
      </c>
    </row>
    <row r="21" spans="1:5" x14ac:dyDescent="0.2">
      <c r="A21" s="26" t="s">
        <v>142</v>
      </c>
      <c r="B21" s="19">
        <f>2*B5</f>
        <v>0</v>
      </c>
      <c r="C21" s="7"/>
      <c r="D21" s="12">
        <f t="shared" si="0"/>
        <v>0</v>
      </c>
    </row>
    <row r="22" spans="1:5" x14ac:dyDescent="0.2">
      <c r="A22" s="26" t="s">
        <v>143</v>
      </c>
      <c r="B22" s="19">
        <f>B5</f>
        <v>0</v>
      </c>
      <c r="C22" s="7"/>
      <c r="D22" s="12">
        <f t="shared" si="0"/>
        <v>0</v>
      </c>
    </row>
    <row r="23" spans="1:5" x14ac:dyDescent="0.2">
      <c r="A23" s="26" t="s">
        <v>21</v>
      </c>
      <c r="B23" s="19">
        <f>(6*3+3)*B5</f>
        <v>0</v>
      </c>
      <c r="C23" s="7"/>
      <c r="D23" s="12">
        <f t="shared" si="0"/>
        <v>0</v>
      </c>
    </row>
    <row r="24" spans="1:5" x14ac:dyDescent="0.2">
      <c r="A24" s="26" t="s">
        <v>93</v>
      </c>
      <c r="B24" s="19">
        <f>2*B5</f>
        <v>0</v>
      </c>
      <c r="C24" s="7"/>
      <c r="D24" s="12">
        <f t="shared" si="0"/>
        <v>0</v>
      </c>
    </row>
    <row r="25" spans="1:5" x14ac:dyDescent="0.2">
      <c r="A25" s="26" t="s">
        <v>144</v>
      </c>
      <c r="B25" s="19">
        <f>B5*2</f>
        <v>0</v>
      </c>
      <c r="C25" s="7"/>
      <c r="D25" s="12">
        <f t="shared" si="0"/>
        <v>0</v>
      </c>
    </row>
    <row r="26" spans="1:5" x14ac:dyDescent="0.2">
      <c r="A26" s="26" t="s">
        <v>112</v>
      </c>
      <c r="B26" s="19">
        <f>B5</f>
        <v>0</v>
      </c>
      <c r="C26" s="7"/>
      <c r="D26" s="12">
        <f t="shared" si="0"/>
        <v>0</v>
      </c>
    </row>
    <row r="27" spans="1:5" x14ac:dyDescent="0.2">
      <c r="A27" s="20" t="s">
        <v>52</v>
      </c>
      <c r="B27" s="19">
        <f>(4*B3+2*B4)*B5</f>
        <v>0</v>
      </c>
      <c r="C27" s="7"/>
      <c r="D27" s="12">
        <f t="shared" si="0"/>
        <v>0</v>
      </c>
      <c r="E27" s="15"/>
    </row>
    <row r="28" spans="1:5" x14ac:dyDescent="0.2">
      <c r="A28" s="20" t="s">
        <v>64</v>
      </c>
      <c r="B28" s="19">
        <f>(B4*2+B3*2+B4*0.75*2)*B5</f>
        <v>0</v>
      </c>
      <c r="C28" s="7"/>
      <c r="D28" s="12">
        <f t="shared" si="0"/>
        <v>0</v>
      </c>
      <c r="E28" s="15"/>
    </row>
    <row r="29" spans="1:5" x14ac:dyDescent="0.2">
      <c r="A29" s="20" t="s">
        <v>139</v>
      </c>
      <c r="B29" s="19">
        <f>(B12*B4+B3+0.2)*B5</f>
        <v>0</v>
      </c>
      <c r="C29" s="7"/>
      <c r="D29" s="12">
        <f t="shared" si="0"/>
        <v>0</v>
      </c>
      <c r="E29" s="15"/>
    </row>
    <row r="30" spans="1:5" ht="12" thickBot="1" x14ac:dyDescent="0.25">
      <c r="A30" s="148" t="s">
        <v>278</v>
      </c>
      <c r="B30" s="146">
        <f>IF(B10=1,B4*2,0)</f>
        <v>0</v>
      </c>
      <c r="C30" s="147"/>
      <c r="D30" s="112">
        <f t="shared" si="0"/>
        <v>0</v>
      </c>
      <c r="E30" s="15"/>
    </row>
    <row r="31" spans="1:5" ht="12.75" x14ac:dyDescent="0.2">
      <c r="A31" s="174" t="s">
        <v>14</v>
      </c>
      <c r="B31" s="175"/>
      <c r="C31" s="175"/>
      <c r="D31" s="176"/>
    </row>
    <row r="32" spans="1:5" x14ac:dyDescent="0.2">
      <c r="A32" s="26" t="s">
        <v>35</v>
      </c>
      <c r="B32" s="19">
        <f>(IF(B8=1,B12+2,0))*B5</f>
        <v>0</v>
      </c>
      <c r="C32" s="7"/>
      <c r="D32" s="12">
        <f>B32*C32</f>
        <v>0</v>
      </c>
      <c r="E32" s="15"/>
    </row>
    <row r="33" spans="1:4" x14ac:dyDescent="0.2">
      <c r="A33" s="26" t="s">
        <v>36</v>
      </c>
      <c r="B33" s="19">
        <f>B32</f>
        <v>0</v>
      </c>
      <c r="C33" s="7"/>
      <c r="D33" s="12">
        <f>B33*C33</f>
        <v>0</v>
      </c>
    </row>
    <row r="34" spans="1:4" x14ac:dyDescent="0.2">
      <c r="A34" s="26" t="s">
        <v>38</v>
      </c>
      <c r="B34" s="19">
        <f>(IF(B9=1,B12+2,0))*B5</f>
        <v>0</v>
      </c>
      <c r="C34" s="7"/>
      <c r="D34" s="12">
        <f>B34*C34</f>
        <v>0</v>
      </c>
    </row>
    <row r="35" spans="1:4" x14ac:dyDescent="0.2">
      <c r="A35" s="26" t="s">
        <v>145</v>
      </c>
      <c r="B35" s="19">
        <f>(IF(B7=1,B12+2,IF(B8=1,B12+2,0)))*B5</f>
        <v>0</v>
      </c>
      <c r="C35" s="7"/>
      <c r="D35" s="12">
        <f>B35*C35</f>
        <v>0</v>
      </c>
    </row>
    <row r="36" spans="1:4" ht="12" thickBot="1" x14ac:dyDescent="0.25">
      <c r="A36" s="27" t="s">
        <v>202</v>
      </c>
      <c r="B36" s="51">
        <f>B32</f>
        <v>0</v>
      </c>
      <c r="C36" s="52"/>
      <c r="D36" s="13">
        <f>B36*C36</f>
        <v>0</v>
      </c>
    </row>
    <row r="37" spans="1:4" x14ac:dyDescent="0.2">
      <c r="C37" s="2" t="s">
        <v>7</v>
      </c>
      <c r="D37" s="2">
        <f>SUM(D14:D36)</f>
        <v>0</v>
      </c>
    </row>
  </sheetData>
  <mergeCells count="13">
    <mergeCell ref="A1:D1"/>
    <mergeCell ref="A2:D2"/>
    <mergeCell ref="C3:D3"/>
    <mergeCell ref="C4:D4"/>
    <mergeCell ref="C5:D5"/>
    <mergeCell ref="A31:D31"/>
    <mergeCell ref="C12:D12"/>
    <mergeCell ref="A11:D11"/>
    <mergeCell ref="A6:D6"/>
    <mergeCell ref="C7:D7"/>
    <mergeCell ref="C9:D9"/>
    <mergeCell ref="C8:D8"/>
    <mergeCell ref="C10:D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16" zoomScale="115" zoomScaleNormal="100" workbookViewId="0">
      <selection activeCell="A43" sqref="A4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5" bestFit="1" customWidth="1"/>
    <col min="6" max="6" width="5.5" bestFit="1" customWidth="1"/>
    <col min="7" max="7" width="6.1640625" bestFit="1" customWidth="1"/>
  </cols>
  <sheetData>
    <row r="1" spans="1:8" ht="27" thickBot="1" x14ac:dyDescent="0.45">
      <c r="A1" s="165" t="s">
        <v>154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5">
        <v>1</v>
      </c>
      <c r="C3" s="220" t="s">
        <v>10</v>
      </c>
      <c r="D3" s="171"/>
    </row>
    <row r="4" spans="1:8" x14ac:dyDescent="0.2">
      <c r="A4" s="137" t="s">
        <v>54</v>
      </c>
      <c r="B4" s="22">
        <v>1</v>
      </c>
      <c r="C4" s="221" t="s">
        <v>10</v>
      </c>
      <c r="D4" s="182"/>
    </row>
    <row r="5" spans="1:8" ht="12" thickBot="1" x14ac:dyDescent="0.25">
      <c r="A5" s="138" t="s">
        <v>53</v>
      </c>
      <c r="B5" s="31">
        <v>0.5</v>
      </c>
      <c r="C5" s="222" t="s">
        <v>10</v>
      </c>
      <c r="D5" s="173"/>
    </row>
    <row r="6" spans="1:8" x14ac:dyDescent="0.2">
      <c r="A6" s="125" t="s">
        <v>155</v>
      </c>
      <c r="B6" s="29">
        <v>1</v>
      </c>
      <c r="C6" s="217" t="s">
        <v>10</v>
      </c>
      <c r="D6" s="218"/>
      <c r="H6" s="14"/>
    </row>
    <row r="7" spans="1:8" x14ac:dyDescent="0.2">
      <c r="A7" s="126" t="s">
        <v>156</v>
      </c>
      <c r="B7" s="28">
        <v>0</v>
      </c>
      <c r="C7" s="197" t="s">
        <v>10</v>
      </c>
      <c r="D7" s="178"/>
      <c r="H7" s="14"/>
    </row>
    <row r="8" spans="1:8" ht="12" thickBot="1" x14ac:dyDescent="0.25">
      <c r="A8" s="127" t="s">
        <v>157</v>
      </c>
      <c r="B8" s="30">
        <v>0</v>
      </c>
      <c r="C8" s="201" t="s">
        <v>10</v>
      </c>
      <c r="D8" s="202"/>
      <c r="H8" s="14"/>
    </row>
    <row r="9" spans="1:8" ht="12" thickBot="1" x14ac:dyDescent="0.25">
      <c r="A9" s="179" t="s">
        <v>14</v>
      </c>
      <c r="B9" s="179"/>
      <c r="C9" s="179"/>
      <c r="D9" s="179"/>
      <c r="H9" s="14"/>
    </row>
    <row r="10" spans="1:8" x14ac:dyDescent="0.2">
      <c r="A10" s="125" t="s">
        <v>136</v>
      </c>
      <c r="B10" s="29">
        <v>1</v>
      </c>
      <c r="C10" s="180" t="s">
        <v>11</v>
      </c>
      <c r="D10" s="154"/>
      <c r="H10" s="14"/>
    </row>
    <row r="11" spans="1:8" x14ac:dyDescent="0.2">
      <c r="A11" s="126" t="s">
        <v>180</v>
      </c>
      <c r="B11" s="28">
        <v>0</v>
      </c>
      <c r="C11" s="183" t="s">
        <v>11</v>
      </c>
      <c r="D11" s="184"/>
      <c r="F11" s="14"/>
      <c r="G11" s="14"/>
      <c r="H11" s="14"/>
    </row>
    <row r="12" spans="1:8" x14ac:dyDescent="0.2">
      <c r="A12" s="126" t="s">
        <v>181</v>
      </c>
      <c r="B12" s="24">
        <v>0</v>
      </c>
      <c r="C12" s="181" t="s">
        <v>11</v>
      </c>
      <c r="D12" s="182"/>
      <c r="F12" s="14"/>
      <c r="G12" s="14"/>
      <c r="H12" s="14"/>
    </row>
    <row r="13" spans="1:8" x14ac:dyDescent="0.2">
      <c r="A13" s="134" t="s">
        <v>278</v>
      </c>
      <c r="B13" s="28">
        <v>0</v>
      </c>
      <c r="C13" s="183" t="s">
        <v>11</v>
      </c>
      <c r="D13" s="184"/>
      <c r="F13" s="14"/>
      <c r="G13" s="14"/>
      <c r="H13" s="14"/>
    </row>
    <row r="14" spans="1:8" ht="12" thickBot="1" x14ac:dyDescent="0.25">
      <c r="A14" s="214"/>
      <c r="B14" s="215"/>
      <c r="C14" s="215"/>
      <c r="D14" s="216"/>
      <c r="F14" s="14"/>
      <c r="G14" s="14"/>
      <c r="H14" s="14"/>
    </row>
    <row r="15" spans="1:8" x14ac:dyDescent="0.2">
      <c r="A15" s="32" t="s">
        <v>13</v>
      </c>
      <c r="B15" s="33">
        <f>CEILING((B3-0.1)/0.4,1)+1</f>
        <v>4</v>
      </c>
      <c r="C15" s="149" t="s">
        <v>9</v>
      </c>
      <c r="D15" s="150"/>
      <c r="E15" s="15"/>
      <c r="F15" s="14"/>
      <c r="G15" s="14"/>
      <c r="H15" s="14"/>
    </row>
    <row r="16" spans="1:8" ht="12" thickBot="1" x14ac:dyDescent="0.25">
      <c r="A16" s="34" t="s">
        <v>59</v>
      </c>
      <c r="B16" s="35">
        <f>SUM(B6:B8)</f>
        <v>1</v>
      </c>
      <c r="C16" s="185" t="s">
        <v>9</v>
      </c>
      <c r="D16" s="186"/>
      <c r="E16" s="15"/>
      <c r="F16" s="14"/>
      <c r="G16" s="14"/>
      <c r="H16" s="14"/>
    </row>
    <row r="17" spans="1:8" ht="12" thickBot="1" x14ac:dyDescent="0.25">
      <c r="A17" s="257"/>
      <c r="B17" s="257"/>
      <c r="C17" s="257"/>
      <c r="D17" s="257"/>
      <c r="F17" s="14"/>
      <c r="G17" s="14"/>
      <c r="H17" s="14"/>
    </row>
    <row r="18" spans="1:8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F18" s="14"/>
      <c r="G18" s="14"/>
      <c r="H18" s="14"/>
    </row>
    <row r="19" spans="1:8" x14ac:dyDescent="0.2">
      <c r="A19" s="58" t="s">
        <v>158</v>
      </c>
      <c r="B19" s="6">
        <f>B3*B16</f>
        <v>1</v>
      </c>
      <c r="C19" s="3"/>
      <c r="D19" s="1">
        <f t="shared" ref="D19:D44" si="0">B19*C19</f>
        <v>0</v>
      </c>
      <c r="F19" s="14"/>
      <c r="G19" s="14"/>
      <c r="H19" s="14"/>
    </row>
    <row r="20" spans="1:8" x14ac:dyDescent="0.2">
      <c r="A20" s="26" t="s">
        <v>17</v>
      </c>
      <c r="B20" s="18">
        <f>B3*B16</f>
        <v>1</v>
      </c>
      <c r="C20" s="3"/>
      <c r="D20" s="1">
        <f t="shared" si="0"/>
        <v>0</v>
      </c>
      <c r="F20" s="14"/>
      <c r="G20" s="14"/>
      <c r="H20" s="14"/>
    </row>
    <row r="21" spans="1:8" x14ac:dyDescent="0.2">
      <c r="A21" s="26" t="s">
        <v>88</v>
      </c>
      <c r="B21" s="19">
        <f>(B3-0.026)*B7</f>
        <v>0</v>
      </c>
      <c r="C21" s="7"/>
      <c r="D21" s="12">
        <f t="shared" si="0"/>
        <v>0</v>
      </c>
      <c r="F21" s="14"/>
      <c r="G21" s="14"/>
      <c r="H21" s="14"/>
    </row>
    <row r="22" spans="1:8" x14ac:dyDescent="0.2">
      <c r="A22" s="26" t="s">
        <v>16</v>
      </c>
      <c r="B22" s="18">
        <f>(B3-0.07)*B16</f>
        <v>0.92999999999999994</v>
      </c>
      <c r="C22" s="3"/>
      <c r="D22" s="1">
        <f>B22*C22</f>
        <v>0</v>
      </c>
      <c r="F22" s="14"/>
      <c r="G22" s="14"/>
      <c r="H22" s="14"/>
    </row>
    <row r="23" spans="1:8" x14ac:dyDescent="0.2">
      <c r="A23" s="26" t="s">
        <v>87</v>
      </c>
      <c r="B23" s="19">
        <f>(B3-0.002)*B16*2</f>
        <v>1.996</v>
      </c>
      <c r="C23" s="7"/>
      <c r="D23" s="12">
        <f t="shared" si="0"/>
        <v>0</v>
      </c>
    </row>
    <row r="24" spans="1:8" x14ac:dyDescent="0.2">
      <c r="A24" s="26" t="s">
        <v>159</v>
      </c>
      <c r="B24" s="19">
        <f>B3*B16</f>
        <v>1</v>
      </c>
      <c r="C24" s="7"/>
      <c r="D24" s="12">
        <f t="shared" si="0"/>
        <v>0</v>
      </c>
    </row>
    <row r="25" spans="1:8" x14ac:dyDescent="0.2">
      <c r="A25" s="26" t="s">
        <v>160</v>
      </c>
      <c r="B25" s="19">
        <f>B15-1</f>
        <v>3</v>
      </c>
      <c r="C25" s="7"/>
      <c r="D25" s="12">
        <f t="shared" si="0"/>
        <v>0</v>
      </c>
    </row>
    <row r="26" spans="1:8" x14ac:dyDescent="0.2">
      <c r="A26" s="26" t="s">
        <v>161</v>
      </c>
      <c r="B26" s="19">
        <f>B6</f>
        <v>1</v>
      </c>
      <c r="C26" s="7"/>
      <c r="D26" s="12">
        <f t="shared" si="0"/>
        <v>0</v>
      </c>
    </row>
    <row r="27" spans="1:8" x14ac:dyDescent="0.2">
      <c r="A27" s="26" t="s">
        <v>183</v>
      </c>
      <c r="B27" s="19">
        <f>B7+B8</f>
        <v>0</v>
      </c>
      <c r="C27" s="7"/>
      <c r="D27" s="12">
        <f t="shared" si="0"/>
        <v>0</v>
      </c>
    </row>
    <row r="28" spans="1:8" x14ac:dyDescent="0.2">
      <c r="A28" s="26" t="s">
        <v>162</v>
      </c>
      <c r="B28" s="19">
        <f>IF(B3*B4&lt;=2.5,1,0)</f>
        <v>1</v>
      </c>
      <c r="C28" s="7"/>
      <c r="D28" s="12">
        <f t="shared" si="0"/>
        <v>0</v>
      </c>
    </row>
    <row r="29" spans="1:8" x14ac:dyDescent="0.2">
      <c r="A29" s="26" t="s">
        <v>163</v>
      </c>
      <c r="B29" s="19">
        <f>IF(B3*B4&gt;2.5,1,0)</f>
        <v>0</v>
      </c>
      <c r="C29" s="7"/>
      <c r="D29" s="12">
        <f t="shared" si="0"/>
        <v>0</v>
      </c>
    </row>
    <row r="30" spans="1:8" x14ac:dyDescent="0.2">
      <c r="A30" s="26" t="s">
        <v>164</v>
      </c>
      <c r="B30" s="19">
        <f>(IF(B4&gt;2,B15,0))*B16</f>
        <v>0</v>
      </c>
      <c r="C30" s="7"/>
      <c r="D30" s="12">
        <f t="shared" si="0"/>
        <v>0</v>
      </c>
    </row>
    <row r="31" spans="1:8" x14ac:dyDescent="0.2">
      <c r="A31" s="26" t="s">
        <v>165</v>
      </c>
      <c r="B31" s="19">
        <f>(IF(B4&lt;=2,B15,0))*B16</f>
        <v>4</v>
      </c>
      <c r="C31" s="7"/>
      <c r="D31" s="12">
        <f t="shared" si="0"/>
        <v>0</v>
      </c>
    </row>
    <row r="32" spans="1:8" x14ac:dyDescent="0.2">
      <c r="A32" s="26" t="s">
        <v>166</v>
      </c>
      <c r="B32" s="19">
        <f>B16</f>
        <v>1</v>
      </c>
      <c r="C32" s="7"/>
      <c r="D32" s="12">
        <f t="shared" si="0"/>
        <v>0</v>
      </c>
    </row>
    <row r="33" spans="1:5" x14ac:dyDescent="0.2">
      <c r="A33" s="26" t="s">
        <v>167</v>
      </c>
      <c r="B33" s="19">
        <f>B16</f>
        <v>1</v>
      </c>
      <c r="C33" s="7"/>
      <c r="D33" s="12">
        <f t="shared" si="0"/>
        <v>0</v>
      </c>
    </row>
    <row r="34" spans="1:5" x14ac:dyDescent="0.2">
      <c r="A34" s="26" t="s">
        <v>26</v>
      </c>
      <c r="B34" s="19">
        <f>2*B8</f>
        <v>0</v>
      </c>
      <c r="C34" s="7"/>
      <c r="D34" s="12">
        <f t="shared" si="0"/>
        <v>0</v>
      </c>
    </row>
    <row r="35" spans="1:5" x14ac:dyDescent="0.2">
      <c r="A35" s="26" t="s">
        <v>168</v>
      </c>
      <c r="B35" s="19">
        <f>1*B6</f>
        <v>1</v>
      </c>
      <c r="C35" s="7"/>
      <c r="D35" s="12">
        <f t="shared" si="0"/>
        <v>0</v>
      </c>
    </row>
    <row r="36" spans="1:5" x14ac:dyDescent="0.2">
      <c r="A36" s="26" t="s">
        <v>184</v>
      </c>
      <c r="B36" s="19">
        <f>B7+B8</f>
        <v>0</v>
      </c>
      <c r="C36" s="7"/>
      <c r="D36" s="12">
        <f t="shared" si="0"/>
        <v>0</v>
      </c>
    </row>
    <row r="37" spans="1:5" x14ac:dyDescent="0.2">
      <c r="A37" s="26" t="s">
        <v>169</v>
      </c>
      <c r="B37" s="19">
        <f>B6*2</f>
        <v>2</v>
      </c>
      <c r="C37" s="7"/>
      <c r="D37" s="12">
        <f t="shared" si="0"/>
        <v>0</v>
      </c>
    </row>
    <row r="38" spans="1:5" x14ac:dyDescent="0.2">
      <c r="A38" s="26" t="s">
        <v>185</v>
      </c>
      <c r="B38" s="19">
        <f>2*(B7+B8)</f>
        <v>0</v>
      </c>
      <c r="C38" s="7"/>
      <c r="D38" s="12">
        <f t="shared" si="0"/>
        <v>0</v>
      </c>
    </row>
    <row r="39" spans="1:5" x14ac:dyDescent="0.2">
      <c r="A39" s="26" t="s">
        <v>68</v>
      </c>
      <c r="B39" s="19">
        <f>2*B7</f>
        <v>0</v>
      </c>
      <c r="C39" s="7"/>
      <c r="D39" s="12">
        <f t="shared" si="0"/>
        <v>0</v>
      </c>
    </row>
    <row r="40" spans="1:5" x14ac:dyDescent="0.2">
      <c r="A40" s="26" t="s">
        <v>21</v>
      </c>
      <c r="B40" s="19">
        <f>B15*B16</f>
        <v>4</v>
      </c>
      <c r="C40" s="7"/>
      <c r="D40" s="12">
        <f t="shared" si="0"/>
        <v>0</v>
      </c>
    </row>
    <row r="41" spans="1:5" x14ac:dyDescent="0.2">
      <c r="A41" s="26" t="s">
        <v>144</v>
      </c>
      <c r="B41" s="19">
        <f>B16*B15</f>
        <v>4</v>
      </c>
      <c r="C41" s="7"/>
      <c r="D41" s="12">
        <f t="shared" si="0"/>
        <v>0</v>
      </c>
    </row>
    <row r="42" spans="1:5" x14ac:dyDescent="0.2">
      <c r="A42" s="26" t="s">
        <v>170</v>
      </c>
      <c r="B42" s="19">
        <f>B16</f>
        <v>1</v>
      </c>
      <c r="C42" s="7"/>
      <c r="D42" s="12">
        <f t="shared" si="0"/>
        <v>0</v>
      </c>
    </row>
    <row r="43" spans="1:5" x14ac:dyDescent="0.2">
      <c r="A43" s="26" t="s">
        <v>278</v>
      </c>
      <c r="B43" s="19">
        <f>IF(B13=1,B4*2*B16,0)</f>
        <v>0</v>
      </c>
      <c r="C43" s="7"/>
      <c r="D43" s="119">
        <f t="shared" si="0"/>
        <v>0</v>
      </c>
    </row>
    <row r="44" spans="1:5" ht="12" thickBot="1" x14ac:dyDescent="0.25">
      <c r="A44" s="20" t="s">
        <v>64</v>
      </c>
      <c r="B44" s="19">
        <f>(B4+0.2)*B15*B16+(B3*2+B4*2)*(B7+B8)</f>
        <v>4.8</v>
      </c>
      <c r="C44" s="7"/>
      <c r="D44" s="12">
        <f t="shared" si="0"/>
        <v>0</v>
      </c>
      <c r="E44" s="15"/>
    </row>
    <row r="45" spans="1:5" x14ac:dyDescent="0.2">
      <c r="A45" s="26" t="s">
        <v>172</v>
      </c>
      <c r="B45" s="19">
        <v>0</v>
      </c>
      <c r="C45" s="7"/>
      <c r="D45" s="12">
        <f t="shared" ref="D45:D51" si="1">B45*C45</f>
        <v>0</v>
      </c>
      <c r="E45" s="254" t="s">
        <v>178</v>
      </c>
    </row>
    <row r="46" spans="1:5" x14ac:dyDescent="0.2">
      <c r="A46" s="26" t="s">
        <v>171</v>
      </c>
      <c r="B46" s="19">
        <v>0</v>
      </c>
      <c r="C46" s="7"/>
      <c r="D46" s="12">
        <f t="shared" si="1"/>
        <v>0</v>
      </c>
      <c r="E46" s="255"/>
    </row>
    <row r="47" spans="1:5" x14ac:dyDescent="0.2">
      <c r="A47" s="26" t="s">
        <v>173</v>
      </c>
      <c r="B47" s="19">
        <v>0</v>
      </c>
      <c r="C47" s="7"/>
      <c r="D47" s="12">
        <f t="shared" si="1"/>
        <v>0</v>
      </c>
      <c r="E47" s="255"/>
    </row>
    <row r="48" spans="1:5" x14ac:dyDescent="0.2">
      <c r="A48" s="26" t="s">
        <v>174</v>
      </c>
      <c r="B48" s="19">
        <v>0</v>
      </c>
      <c r="C48" s="7"/>
      <c r="D48" s="12">
        <f t="shared" si="1"/>
        <v>0</v>
      </c>
      <c r="E48" s="255"/>
    </row>
    <row r="49" spans="1:5" x14ac:dyDescent="0.2">
      <c r="A49" s="26" t="s">
        <v>175</v>
      </c>
      <c r="B49" s="19">
        <v>0</v>
      </c>
      <c r="C49" s="7"/>
      <c r="D49" s="12">
        <f t="shared" si="1"/>
        <v>0</v>
      </c>
      <c r="E49" s="255"/>
    </row>
    <row r="50" spans="1:5" x14ac:dyDescent="0.2">
      <c r="A50" s="26" t="s">
        <v>176</v>
      </c>
      <c r="B50" s="19">
        <v>0</v>
      </c>
      <c r="C50" s="7"/>
      <c r="D50" s="12">
        <f t="shared" si="1"/>
        <v>0</v>
      </c>
      <c r="E50" s="255"/>
    </row>
    <row r="51" spans="1:5" ht="12" thickBot="1" x14ac:dyDescent="0.25">
      <c r="A51" s="27" t="s">
        <v>177</v>
      </c>
      <c r="B51" s="44">
        <v>0</v>
      </c>
      <c r="C51" s="11"/>
      <c r="D51" s="13">
        <f t="shared" si="1"/>
        <v>0</v>
      </c>
      <c r="E51" s="256"/>
    </row>
    <row r="52" spans="1:5" ht="12" thickBot="1" x14ac:dyDescent="0.25">
      <c r="A52" s="162"/>
      <c r="B52" s="163"/>
      <c r="C52" s="163"/>
      <c r="D52" s="164"/>
    </row>
    <row r="53" spans="1:5" ht="12.75" x14ac:dyDescent="0.2">
      <c r="A53" s="174" t="s">
        <v>14</v>
      </c>
      <c r="B53" s="175"/>
      <c r="C53" s="175"/>
      <c r="D53" s="176"/>
    </row>
    <row r="54" spans="1:5" x14ac:dyDescent="0.2">
      <c r="A54" s="26" t="s">
        <v>34</v>
      </c>
      <c r="B54" s="19">
        <f>2*B8</f>
        <v>0</v>
      </c>
      <c r="C54" s="7"/>
      <c r="D54" s="12">
        <f>B54*C54</f>
        <v>0</v>
      </c>
      <c r="E54" s="15"/>
    </row>
    <row r="55" spans="1:5" x14ac:dyDescent="0.2">
      <c r="A55" s="26" t="s">
        <v>201</v>
      </c>
      <c r="B55" s="19">
        <f>IF(B10=1,2*B8,IF(B11=1,2*B8,IF(B12=1,2*B8,0)))</f>
        <v>0</v>
      </c>
      <c r="C55" s="7"/>
      <c r="D55" s="62">
        <f>B55*C55</f>
        <v>0</v>
      </c>
      <c r="E55" s="15"/>
    </row>
    <row r="56" spans="1:5" x14ac:dyDescent="0.2">
      <c r="A56" s="26" t="s">
        <v>35</v>
      </c>
      <c r="B56" s="19">
        <f>IF(B11=1,INT((B3-0.1)/0.6+2)*B16+2*B8+INT((B3-0.1)/0.6+2)*B7,0)</f>
        <v>0</v>
      </c>
      <c r="C56" s="7"/>
      <c r="D56" s="12">
        <f>B56*C56</f>
        <v>0</v>
      </c>
      <c r="E56" s="15"/>
    </row>
    <row r="57" spans="1:5" x14ac:dyDescent="0.2">
      <c r="A57" s="26" t="s">
        <v>36</v>
      </c>
      <c r="B57" s="19">
        <f>IF(B11=1,INT((B3-0.1)/0.6+2)*(B7+B8),0)</f>
        <v>0</v>
      </c>
      <c r="C57" s="7"/>
      <c r="D57" s="12">
        <f t="shared" ref="D57:D66" si="2">B57*C57</f>
        <v>0</v>
      </c>
    </row>
    <row r="58" spans="1:5" x14ac:dyDescent="0.2">
      <c r="A58" s="26" t="s">
        <v>37</v>
      </c>
      <c r="B58" s="19">
        <f>IF(B12=1,2*B8,0)</f>
        <v>0</v>
      </c>
      <c r="C58" s="7"/>
      <c r="D58" s="12">
        <f t="shared" si="2"/>
        <v>0</v>
      </c>
    </row>
    <row r="59" spans="1:5" x14ac:dyDescent="0.2">
      <c r="A59" s="26" t="s">
        <v>182</v>
      </c>
      <c r="B59" s="19">
        <f>(IF(B12=1,INT((B3-0.1)/0.6+2),0))*B16</f>
        <v>0</v>
      </c>
      <c r="C59" s="7"/>
      <c r="D59" s="12">
        <f t="shared" si="2"/>
        <v>0</v>
      </c>
    </row>
    <row r="60" spans="1:5" x14ac:dyDescent="0.2">
      <c r="A60" s="26" t="s">
        <v>38</v>
      </c>
      <c r="B60" s="19">
        <f>(IF(B12=1,INT((B3-0.1)/0.6+2),0))*B7</f>
        <v>0</v>
      </c>
      <c r="C60" s="7"/>
      <c r="D60" s="12">
        <f t="shared" si="2"/>
        <v>0</v>
      </c>
    </row>
    <row r="61" spans="1:5" x14ac:dyDescent="0.2">
      <c r="A61" s="26" t="s">
        <v>179</v>
      </c>
      <c r="B61" s="19">
        <f>(IF(B12=1,0,INT((B3-0.1)/0.6+2)))*B16</f>
        <v>3</v>
      </c>
      <c r="C61" s="7"/>
      <c r="D61" s="12">
        <f t="shared" si="2"/>
        <v>0</v>
      </c>
    </row>
    <row r="62" spans="1:5" x14ac:dyDescent="0.2">
      <c r="A62" s="26" t="s">
        <v>33</v>
      </c>
      <c r="B62" s="19">
        <f>((IF(B12=1,0,INT((B3-0.1)/0.6+2))))*B7</f>
        <v>0</v>
      </c>
      <c r="C62" s="7"/>
      <c r="D62" s="12">
        <f t="shared" si="2"/>
        <v>0</v>
      </c>
    </row>
    <row r="63" spans="1:5" x14ac:dyDescent="0.2">
      <c r="A63" s="26" t="s">
        <v>42</v>
      </c>
      <c r="B63" s="23">
        <f>IF(B10&lt;&gt;1,B54,0)</f>
        <v>0</v>
      </c>
      <c r="C63" s="7"/>
      <c r="D63" s="12">
        <f t="shared" si="2"/>
        <v>0</v>
      </c>
    </row>
    <row r="64" spans="1:5" x14ac:dyDescent="0.2">
      <c r="A64" s="26" t="s">
        <v>135</v>
      </c>
      <c r="B64" s="19">
        <f>B63</f>
        <v>0</v>
      </c>
      <c r="C64" s="7"/>
      <c r="D64" s="12">
        <f t="shared" si="2"/>
        <v>0</v>
      </c>
    </row>
    <row r="65" spans="1:8" x14ac:dyDescent="0.2">
      <c r="A65" s="26" t="s">
        <v>202</v>
      </c>
      <c r="B65" s="23">
        <f>IF(B11=1,B61+B62,0)</f>
        <v>0</v>
      </c>
      <c r="C65" s="3"/>
      <c r="D65" s="12">
        <f t="shared" si="2"/>
        <v>0</v>
      </c>
    </row>
    <row r="66" spans="1:8" x14ac:dyDescent="0.2">
      <c r="A66" s="26" t="s">
        <v>45</v>
      </c>
      <c r="B66" s="19">
        <f>B54</f>
        <v>0</v>
      </c>
      <c r="C66" s="7"/>
      <c r="D66" s="12">
        <f t="shared" si="2"/>
        <v>0</v>
      </c>
    </row>
    <row r="67" spans="1:8" ht="12" thickBot="1" x14ac:dyDescent="0.25">
      <c r="A67" s="162"/>
      <c r="B67" s="163"/>
      <c r="C67" s="163"/>
      <c r="D67" s="164"/>
    </row>
    <row r="68" spans="1:8" ht="12.75" x14ac:dyDescent="0.2">
      <c r="A68" s="159" t="s">
        <v>194</v>
      </c>
      <c r="B68" s="160"/>
      <c r="C68" s="160"/>
      <c r="D68" s="203"/>
    </row>
    <row r="69" spans="1:8" x14ac:dyDescent="0.2">
      <c r="A69" s="26" t="s">
        <v>50</v>
      </c>
      <c r="B69" s="19">
        <v>1</v>
      </c>
      <c r="C69" s="7"/>
      <c r="D69" s="12">
        <f>B69*C69</f>
        <v>0</v>
      </c>
    </row>
    <row r="70" spans="1:8" ht="12" thickBot="1" x14ac:dyDescent="0.25">
      <c r="A70" s="27" t="s">
        <v>51</v>
      </c>
      <c r="B70" s="44">
        <v>1</v>
      </c>
      <c r="C70" s="11"/>
      <c r="D70" s="13">
        <f>B70*C70</f>
        <v>0</v>
      </c>
    </row>
    <row r="71" spans="1:8" x14ac:dyDescent="0.2">
      <c r="C71" s="2" t="s">
        <v>7</v>
      </c>
      <c r="D71" s="2">
        <f>SUM(D20:D70)</f>
        <v>0</v>
      </c>
    </row>
    <row r="77" spans="1:8" ht="12" thickBot="1" x14ac:dyDescent="0.25">
      <c r="F77" s="213" t="s">
        <v>9</v>
      </c>
      <c r="G77" s="213"/>
      <c r="H77" s="213"/>
    </row>
    <row r="78" spans="1:8" x14ac:dyDescent="0.2">
      <c r="F78" s="210" t="s">
        <v>70</v>
      </c>
      <c r="G78" s="211"/>
      <c r="H78" s="212"/>
    </row>
    <row r="79" spans="1:8" x14ac:dyDescent="0.2">
      <c r="F79" s="39">
        <f>B15</f>
        <v>4</v>
      </c>
      <c r="G79" s="6">
        <f>F79*B6</f>
        <v>4</v>
      </c>
      <c r="H79" s="1">
        <v>0</v>
      </c>
    </row>
    <row r="80" spans="1:8" x14ac:dyDescent="0.2">
      <c r="F80" s="39">
        <f>B15*2</f>
        <v>8</v>
      </c>
      <c r="G80" s="6">
        <f>F80*B7</f>
        <v>0</v>
      </c>
      <c r="H80" s="1">
        <v>0</v>
      </c>
    </row>
    <row r="81" spans="6:8" ht="12" thickBot="1" x14ac:dyDescent="0.25">
      <c r="F81" s="40">
        <f>B15</f>
        <v>4</v>
      </c>
      <c r="G81" s="36">
        <f>F81*B8</f>
        <v>0</v>
      </c>
      <c r="H81" s="41">
        <f>2*B8</f>
        <v>0</v>
      </c>
    </row>
    <row r="82" spans="6:8" ht="12" thickBot="1" x14ac:dyDescent="0.25">
      <c r="F82" s="37">
        <f>SUM(F79:F81)</f>
        <v>16</v>
      </c>
      <c r="G82" s="38">
        <f>SUM(G79:G81)</f>
        <v>4</v>
      </c>
      <c r="H82" s="38">
        <f>SUM(H79:H81)</f>
        <v>0</v>
      </c>
    </row>
    <row r="83" spans="6:8" x14ac:dyDescent="0.2">
      <c r="F83" s="42" t="s">
        <v>66</v>
      </c>
      <c r="G83" s="42" t="s">
        <v>74</v>
      </c>
      <c r="H83" s="42" t="s">
        <v>69</v>
      </c>
    </row>
  </sheetData>
  <mergeCells count="24">
    <mergeCell ref="C7:D7"/>
    <mergeCell ref="C8:D8"/>
    <mergeCell ref="C6:D6"/>
    <mergeCell ref="A1:D1"/>
    <mergeCell ref="A2:D2"/>
    <mergeCell ref="C3:D3"/>
    <mergeCell ref="C4:D4"/>
    <mergeCell ref="C5:D5"/>
    <mergeCell ref="F78:H78"/>
    <mergeCell ref="A9:D9"/>
    <mergeCell ref="C10:D10"/>
    <mergeCell ref="C11:D11"/>
    <mergeCell ref="A52:D52"/>
    <mergeCell ref="A53:D53"/>
    <mergeCell ref="E45:E51"/>
    <mergeCell ref="A17:D17"/>
    <mergeCell ref="C16:D16"/>
    <mergeCell ref="A14:D14"/>
    <mergeCell ref="C12:D12"/>
    <mergeCell ref="C15:D15"/>
    <mergeCell ref="F77:H77"/>
    <mergeCell ref="A67:D67"/>
    <mergeCell ref="A68:D68"/>
    <mergeCell ref="C13:D1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7" zoomScale="115" zoomScaleNormal="100" workbookViewId="0">
      <selection activeCell="A42" sqref="A42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5.5" bestFit="1" customWidth="1"/>
    <col min="6" max="6" width="6.1640625" bestFit="1" customWidth="1"/>
  </cols>
  <sheetData>
    <row r="1" spans="1:7" ht="27" thickBot="1" x14ac:dyDescent="0.45">
      <c r="A1" s="165" t="s">
        <v>192</v>
      </c>
      <c r="B1" s="166"/>
      <c r="C1" s="166"/>
      <c r="D1" s="219"/>
    </row>
    <row r="2" spans="1:7" ht="15" thickBot="1" x14ac:dyDescent="0.25">
      <c r="A2" s="167" t="s">
        <v>2</v>
      </c>
      <c r="B2" s="168"/>
      <c r="C2" s="168"/>
      <c r="D2" s="169"/>
    </row>
    <row r="3" spans="1:7" x14ac:dyDescent="0.2">
      <c r="A3" s="136" t="s">
        <v>55</v>
      </c>
      <c r="B3" s="5">
        <v>1</v>
      </c>
      <c r="C3" s="220" t="s">
        <v>10</v>
      </c>
      <c r="D3" s="171"/>
    </row>
    <row r="4" spans="1:7" x14ac:dyDescent="0.2">
      <c r="A4" s="137" t="s">
        <v>54</v>
      </c>
      <c r="B4" s="22">
        <v>1</v>
      </c>
      <c r="C4" s="221" t="s">
        <v>10</v>
      </c>
      <c r="D4" s="182"/>
    </row>
    <row r="5" spans="1:7" ht="12" thickBot="1" x14ac:dyDescent="0.25">
      <c r="A5" s="138" t="s">
        <v>53</v>
      </c>
      <c r="B5" s="31">
        <v>0.5</v>
      </c>
      <c r="C5" s="222" t="s">
        <v>10</v>
      </c>
      <c r="D5" s="173"/>
    </row>
    <row r="6" spans="1:7" x14ac:dyDescent="0.2">
      <c r="A6" s="125" t="s">
        <v>186</v>
      </c>
      <c r="B6" s="29">
        <v>1</v>
      </c>
      <c r="C6" s="217" t="s">
        <v>10</v>
      </c>
      <c r="D6" s="218"/>
      <c r="G6" s="14"/>
    </row>
    <row r="7" spans="1:7" x14ac:dyDescent="0.2">
      <c r="A7" s="126" t="s">
        <v>187</v>
      </c>
      <c r="B7" s="28">
        <v>0</v>
      </c>
      <c r="C7" s="197" t="s">
        <v>10</v>
      </c>
      <c r="D7" s="178"/>
      <c r="G7" s="14"/>
    </row>
    <row r="8" spans="1:7" ht="12" thickBot="1" x14ac:dyDescent="0.25">
      <c r="A8" s="127" t="s">
        <v>188</v>
      </c>
      <c r="B8" s="30">
        <v>0</v>
      </c>
      <c r="C8" s="201" t="s">
        <v>10</v>
      </c>
      <c r="D8" s="202"/>
      <c r="G8" s="14"/>
    </row>
    <row r="9" spans="1:7" ht="12" thickBot="1" x14ac:dyDescent="0.25">
      <c r="A9" s="179" t="s">
        <v>14</v>
      </c>
      <c r="B9" s="179"/>
      <c r="C9" s="179"/>
      <c r="D9" s="179"/>
      <c r="G9" s="14"/>
    </row>
    <row r="10" spans="1:7" x14ac:dyDescent="0.2">
      <c r="A10" s="125" t="s">
        <v>136</v>
      </c>
      <c r="B10" s="29">
        <v>1</v>
      </c>
      <c r="C10" s="180" t="s">
        <v>11</v>
      </c>
      <c r="D10" s="154"/>
      <c r="G10" s="14"/>
    </row>
    <row r="11" spans="1:7" x14ac:dyDescent="0.2">
      <c r="A11" s="126" t="s">
        <v>180</v>
      </c>
      <c r="B11" s="28">
        <v>0</v>
      </c>
      <c r="C11" s="183" t="s">
        <v>11</v>
      </c>
      <c r="D11" s="184"/>
      <c r="E11" s="14"/>
      <c r="F11" s="14"/>
      <c r="G11" s="14"/>
    </row>
    <row r="12" spans="1:7" x14ac:dyDescent="0.2">
      <c r="A12" s="126" t="s">
        <v>181</v>
      </c>
      <c r="B12" s="24">
        <v>0</v>
      </c>
      <c r="C12" s="181" t="s">
        <v>11</v>
      </c>
      <c r="D12" s="182"/>
      <c r="E12" s="14"/>
      <c r="F12" s="14"/>
      <c r="G12" s="14"/>
    </row>
    <row r="13" spans="1:7" x14ac:dyDescent="0.2">
      <c r="A13" s="134" t="s">
        <v>278</v>
      </c>
      <c r="B13" s="28">
        <v>0</v>
      </c>
      <c r="C13" s="183" t="s">
        <v>11</v>
      </c>
      <c r="D13" s="184"/>
      <c r="E13" s="14"/>
      <c r="F13" s="14"/>
      <c r="G13" s="14"/>
    </row>
    <row r="14" spans="1:7" ht="12" thickBot="1" x14ac:dyDescent="0.25">
      <c r="A14" s="214"/>
      <c r="B14" s="215"/>
      <c r="C14" s="215"/>
      <c r="D14" s="216"/>
      <c r="E14" s="14"/>
      <c r="F14" s="14"/>
      <c r="G14" s="14"/>
    </row>
    <row r="15" spans="1:7" x14ac:dyDescent="0.2">
      <c r="A15" s="32" t="s">
        <v>13</v>
      </c>
      <c r="B15" s="33">
        <f>CEILING((B3-0.1)/0.4,1)+1</f>
        <v>4</v>
      </c>
      <c r="C15" s="149" t="s">
        <v>9</v>
      </c>
      <c r="D15" s="150"/>
      <c r="E15" s="14"/>
      <c r="F15" s="14"/>
      <c r="G15" s="14"/>
    </row>
    <row r="16" spans="1:7" ht="12" thickBot="1" x14ac:dyDescent="0.25">
      <c r="A16" s="34" t="s">
        <v>59</v>
      </c>
      <c r="B16" s="35">
        <f>SUM(B6:B8)</f>
        <v>1</v>
      </c>
      <c r="C16" s="185" t="s">
        <v>9</v>
      </c>
      <c r="D16" s="186"/>
      <c r="E16" s="14"/>
      <c r="F16" s="14"/>
      <c r="G16" s="14"/>
    </row>
    <row r="17" spans="1:7" ht="12" thickBot="1" x14ac:dyDescent="0.25">
      <c r="A17" s="257"/>
      <c r="B17" s="257"/>
      <c r="C17" s="257"/>
      <c r="D17" s="257"/>
      <c r="E17" s="14"/>
      <c r="F17" s="14"/>
      <c r="G17" s="14"/>
    </row>
    <row r="18" spans="1:7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E18" s="14"/>
      <c r="F18" s="14"/>
      <c r="G18" s="14"/>
    </row>
    <row r="19" spans="1:7" x14ac:dyDescent="0.2">
      <c r="A19" s="58" t="s">
        <v>158</v>
      </c>
      <c r="B19" s="6">
        <f>B3*B16</f>
        <v>1</v>
      </c>
      <c r="C19" s="3"/>
      <c r="D19" s="1">
        <f t="shared" ref="D19:D43" si="0">B19*C19</f>
        <v>0</v>
      </c>
      <c r="E19" s="14"/>
      <c r="F19" s="14"/>
      <c r="G19" s="14"/>
    </row>
    <row r="20" spans="1:7" x14ac:dyDescent="0.2">
      <c r="A20" s="26" t="s">
        <v>17</v>
      </c>
      <c r="B20" s="18">
        <f>B3*B16</f>
        <v>1</v>
      </c>
      <c r="C20" s="3"/>
      <c r="D20" s="1">
        <f t="shared" si="0"/>
        <v>0</v>
      </c>
      <c r="E20" s="14"/>
      <c r="F20" s="14"/>
      <c r="G20" s="14"/>
    </row>
    <row r="21" spans="1:7" x14ac:dyDescent="0.2">
      <c r="A21" s="26" t="s">
        <v>88</v>
      </c>
      <c r="B21" s="19">
        <f>(B3-0.026)*B7</f>
        <v>0</v>
      </c>
      <c r="C21" s="7"/>
      <c r="D21" s="12">
        <f t="shared" si="0"/>
        <v>0</v>
      </c>
      <c r="E21" s="14"/>
      <c r="F21" s="14"/>
      <c r="G21" s="14"/>
    </row>
    <row r="22" spans="1:7" x14ac:dyDescent="0.2">
      <c r="A22" s="26" t="s">
        <v>16</v>
      </c>
      <c r="B22" s="18">
        <f>(B3-0.07)*B16</f>
        <v>0.92999999999999994</v>
      </c>
      <c r="C22" s="3"/>
      <c r="D22" s="1">
        <f t="shared" si="0"/>
        <v>0</v>
      </c>
      <c r="E22" s="14"/>
      <c r="F22" s="14"/>
      <c r="G22" s="14"/>
    </row>
    <row r="23" spans="1:7" x14ac:dyDescent="0.2">
      <c r="A23" s="26" t="s">
        <v>87</v>
      </c>
      <c r="B23" s="19">
        <f>(B3-0.002)*B16*2</f>
        <v>1.996</v>
      </c>
      <c r="C23" s="7"/>
      <c r="D23" s="12">
        <f t="shared" si="0"/>
        <v>0</v>
      </c>
    </row>
    <row r="24" spans="1:7" x14ac:dyDescent="0.2">
      <c r="A24" s="26" t="s">
        <v>159</v>
      </c>
      <c r="B24" s="19">
        <f>B3*B16</f>
        <v>1</v>
      </c>
      <c r="C24" s="7"/>
      <c r="D24" s="12">
        <f t="shared" si="0"/>
        <v>0</v>
      </c>
    </row>
    <row r="25" spans="1:7" x14ac:dyDescent="0.2">
      <c r="A25" s="26" t="s">
        <v>160</v>
      </c>
      <c r="B25" s="19">
        <f>(B15-1)*B16</f>
        <v>3</v>
      </c>
      <c r="C25" s="7"/>
      <c r="D25" s="12">
        <f t="shared" si="0"/>
        <v>0</v>
      </c>
    </row>
    <row r="26" spans="1:7" x14ac:dyDescent="0.2">
      <c r="A26" s="26" t="s">
        <v>191</v>
      </c>
      <c r="B26" s="19">
        <f>(IF(B3*B4&lt;=3,1,0))*B16</f>
        <v>1</v>
      </c>
      <c r="C26" s="7"/>
      <c r="D26" s="12">
        <f t="shared" si="0"/>
        <v>0</v>
      </c>
    </row>
    <row r="27" spans="1:7" x14ac:dyDescent="0.2">
      <c r="A27" s="26" t="s">
        <v>189</v>
      </c>
      <c r="B27" s="19">
        <f>IF(B3*B4&gt;3,1,0)</f>
        <v>0</v>
      </c>
      <c r="C27" s="7"/>
      <c r="D27" s="12">
        <f t="shared" si="0"/>
        <v>0</v>
      </c>
    </row>
    <row r="28" spans="1:7" x14ac:dyDescent="0.2">
      <c r="A28" s="26" t="s">
        <v>164</v>
      </c>
      <c r="B28" s="19">
        <f>(IF(B4&gt;2,B15,0))*B16</f>
        <v>0</v>
      </c>
      <c r="C28" s="7"/>
      <c r="D28" s="12">
        <f t="shared" si="0"/>
        <v>0</v>
      </c>
    </row>
    <row r="29" spans="1:7" x14ac:dyDescent="0.2">
      <c r="A29" s="26" t="s">
        <v>165</v>
      </c>
      <c r="B29" s="19">
        <f>(IF(B4&lt;=2,B15,0))*B16</f>
        <v>4</v>
      </c>
      <c r="C29" s="7"/>
      <c r="D29" s="12">
        <f t="shared" si="0"/>
        <v>0</v>
      </c>
    </row>
    <row r="30" spans="1:7" x14ac:dyDescent="0.2">
      <c r="A30" s="26" t="s">
        <v>196</v>
      </c>
      <c r="B30" s="19">
        <f>B16</f>
        <v>1</v>
      </c>
      <c r="C30" s="7"/>
      <c r="D30" s="12">
        <f t="shared" si="0"/>
        <v>0</v>
      </c>
    </row>
    <row r="31" spans="1:7" x14ac:dyDescent="0.2">
      <c r="A31" s="26" t="s">
        <v>166</v>
      </c>
      <c r="B31" s="19">
        <f>B16</f>
        <v>1</v>
      </c>
      <c r="C31" s="7"/>
      <c r="D31" s="12">
        <f t="shared" si="0"/>
        <v>0</v>
      </c>
    </row>
    <row r="32" spans="1:7" x14ac:dyDescent="0.2">
      <c r="A32" s="26" t="s">
        <v>167</v>
      </c>
      <c r="B32" s="19">
        <f>B16</f>
        <v>1</v>
      </c>
      <c r="C32" s="7"/>
      <c r="D32" s="12">
        <f t="shared" si="0"/>
        <v>0</v>
      </c>
    </row>
    <row r="33" spans="1:4" x14ac:dyDescent="0.2">
      <c r="A33" s="26" t="s">
        <v>168</v>
      </c>
      <c r="B33" s="19">
        <f>2*B6</f>
        <v>2</v>
      </c>
      <c r="C33" s="7"/>
      <c r="D33" s="12">
        <f t="shared" si="0"/>
        <v>0</v>
      </c>
    </row>
    <row r="34" spans="1:4" x14ac:dyDescent="0.2">
      <c r="A34" s="26" t="s">
        <v>184</v>
      </c>
      <c r="B34" s="19">
        <f>(B7+B8)*2</f>
        <v>0</v>
      </c>
      <c r="C34" s="7"/>
      <c r="D34" s="12">
        <f t="shared" si="0"/>
        <v>0</v>
      </c>
    </row>
    <row r="35" spans="1:4" x14ac:dyDescent="0.2">
      <c r="A35" s="26" t="s">
        <v>169</v>
      </c>
      <c r="B35" s="19">
        <f>B6*2</f>
        <v>2</v>
      </c>
      <c r="C35" s="7"/>
      <c r="D35" s="12">
        <f t="shared" si="0"/>
        <v>0</v>
      </c>
    </row>
    <row r="36" spans="1:4" x14ac:dyDescent="0.2">
      <c r="A36" s="26" t="s">
        <v>185</v>
      </c>
      <c r="B36" s="19">
        <f>2*(B7+B8)</f>
        <v>0</v>
      </c>
      <c r="C36" s="7"/>
      <c r="D36" s="12">
        <f t="shared" si="0"/>
        <v>0</v>
      </c>
    </row>
    <row r="37" spans="1:4" x14ac:dyDescent="0.2">
      <c r="A37" s="26" t="s">
        <v>68</v>
      </c>
      <c r="B37" s="19">
        <f>2*B7</f>
        <v>0</v>
      </c>
      <c r="C37" s="7"/>
      <c r="D37" s="12">
        <f t="shared" si="0"/>
        <v>0</v>
      </c>
    </row>
    <row r="38" spans="1:4" x14ac:dyDescent="0.2">
      <c r="A38" s="26" t="s">
        <v>26</v>
      </c>
      <c r="B38" s="19">
        <f>2*B8</f>
        <v>0</v>
      </c>
      <c r="C38" s="7"/>
      <c r="D38" s="12">
        <f t="shared" si="0"/>
        <v>0</v>
      </c>
    </row>
    <row r="39" spans="1:4" x14ac:dyDescent="0.2">
      <c r="A39" s="26" t="s">
        <v>21</v>
      </c>
      <c r="B39" s="19">
        <f>B15*B16</f>
        <v>4</v>
      </c>
      <c r="C39" s="7"/>
      <c r="D39" s="12">
        <f t="shared" si="0"/>
        <v>0</v>
      </c>
    </row>
    <row r="40" spans="1:4" x14ac:dyDescent="0.2">
      <c r="A40" s="26" t="s">
        <v>144</v>
      </c>
      <c r="B40" s="19">
        <f>B16*B15</f>
        <v>4</v>
      </c>
      <c r="C40" s="7"/>
      <c r="D40" s="12">
        <f t="shared" si="0"/>
        <v>0</v>
      </c>
    </row>
    <row r="41" spans="1:4" x14ac:dyDescent="0.2">
      <c r="A41" s="26" t="s">
        <v>170</v>
      </c>
      <c r="B41" s="19">
        <f>B16</f>
        <v>1</v>
      </c>
      <c r="C41" s="7"/>
      <c r="D41" s="12">
        <f t="shared" si="0"/>
        <v>0</v>
      </c>
    </row>
    <row r="42" spans="1:4" x14ac:dyDescent="0.2">
      <c r="A42" s="26" t="s">
        <v>278</v>
      </c>
      <c r="B42" s="19">
        <f>IF(B13=1,B4*2*B16,0)</f>
        <v>0</v>
      </c>
      <c r="C42" s="7"/>
      <c r="D42" s="119">
        <f t="shared" si="0"/>
        <v>0</v>
      </c>
    </row>
    <row r="43" spans="1:4" x14ac:dyDescent="0.2">
      <c r="A43" s="20" t="s">
        <v>64</v>
      </c>
      <c r="B43" s="19">
        <f>(B4+0.2)*B15*B16+(B3*2+B4*2)*(B7+B8)</f>
        <v>4.8</v>
      </c>
      <c r="C43" s="7"/>
      <c r="D43" s="12">
        <f t="shared" si="0"/>
        <v>0</v>
      </c>
    </row>
    <row r="44" spans="1:4" ht="22.5" customHeight="1" x14ac:dyDescent="0.2">
      <c r="A44" s="258" t="s">
        <v>190</v>
      </c>
      <c r="B44" s="259"/>
      <c r="C44" s="259"/>
      <c r="D44" s="260"/>
    </row>
    <row r="45" spans="1:4" ht="12" thickBot="1" x14ac:dyDescent="0.25">
      <c r="A45" s="162"/>
      <c r="B45" s="163"/>
      <c r="C45" s="163"/>
      <c r="D45" s="164"/>
    </row>
    <row r="46" spans="1:4" ht="12.75" x14ac:dyDescent="0.2">
      <c r="A46" s="174" t="s">
        <v>14</v>
      </c>
      <c r="B46" s="175"/>
      <c r="C46" s="175"/>
      <c r="D46" s="176"/>
    </row>
    <row r="47" spans="1:4" x14ac:dyDescent="0.2">
      <c r="A47" s="26" t="s">
        <v>34</v>
      </c>
      <c r="B47" s="19">
        <f>2*B8</f>
        <v>0</v>
      </c>
      <c r="C47" s="7"/>
      <c r="D47" s="12">
        <f t="shared" ref="D47:D59" si="1">B47*C47</f>
        <v>0</v>
      </c>
    </row>
    <row r="48" spans="1:4" x14ac:dyDescent="0.2">
      <c r="A48" s="26" t="s">
        <v>201</v>
      </c>
      <c r="B48" s="19">
        <f>IF(B10=1,2*B8,IF(B11=1,2*B8,IF(B12=1,2*B8,0)))</f>
        <v>0</v>
      </c>
      <c r="C48" s="7"/>
      <c r="D48" s="62">
        <f t="shared" ref="D48" si="2">B48*C48</f>
        <v>0</v>
      </c>
    </row>
    <row r="49" spans="1:4" x14ac:dyDescent="0.2">
      <c r="A49" s="26" t="s">
        <v>35</v>
      </c>
      <c r="B49" s="19">
        <f>IF(B11=1,INT((B3-0.1)/0.6+2)*B16+2*B8+INT((B3-0.1)/0.6+2)*B7,0)</f>
        <v>0</v>
      </c>
      <c r="C49" s="7"/>
      <c r="D49" s="12">
        <f t="shared" si="1"/>
        <v>0</v>
      </c>
    </row>
    <row r="50" spans="1:4" x14ac:dyDescent="0.2">
      <c r="A50" s="26" t="s">
        <v>36</v>
      </c>
      <c r="B50" s="19">
        <f>IF(B11=1,INT((B3-0.1)/0.6+2)*(B7+B8),0)</f>
        <v>0</v>
      </c>
      <c r="C50" s="7"/>
      <c r="D50" s="12">
        <f t="shared" si="1"/>
        <v>0</v>
      </c>
    </row>
    <row r="51" spans="1:4" x14ac:dyDescent="0.2">
      <c r="A51" s="26" t="s">
        <v>37</v>
      </c>
      <c r="B51" s="19">
        <f>IF(B12=1,2*B8,0)</f>
        <v>0</v>
      </c>
      <c r="C51" s="7"/>
      <c r="D51" s="12">
        <f t="shared" si="1"/>
        <v>0</v>
      </c>
    </row>
    <row r="52" spans="1:4" x14ac:dyDescent="0.2">
      <c r="A52" s="26" t="s">
        <v>182</v>
      </c>
      <c r="B52" s="19">
        <f>(IF(B12=1,INT((B3-0.1)/0.6+2),0))*B16</f>
        <v>0</v>
      </c>
      <c r="C52" s="7"/>
      <c r="D52" s="12">
        <f t="shared" si="1"/>
        <v>0</v>
      </c>
    </row>
    <row r="53" spans="1:4" x14ac:dyDescent="0.2">
      <c r="A53" s="26" t="s">
        <v>38</v>
      </c>
      <c r="B53" s="19">
        <f>(IF(B12=1,INT((B3-0.1)/0.6+2),0))*B7</f>
        <v>0</v>
      </c>
      <c r="C53" s="7"/>
      <c r="D53" s="12">
        <f t="shared" si="1"/>
        <v>0</v>
      </c>
    </row>
    <row r="54" spans="1:4" x14ac:dyDescent="0.2">
      <c r="A54" s="26" t="s">
        <v>179</v>
      </c>
      <c r="B54" s="19">
        <f>(IF(B12=1,0,INT((B3-0.1)/0.6+2)))*B16</f>
        <v>3</v>
      </c>
      <c r="C54" s="7"/>
      <c r="D54" s="12">
        <f t="shared" si="1"/>
        <v>0</v>
      </c>
    </row>
    <row r="55" spans="1:4" x14ac:dyDescent="0.2">
      <c r="A55" s="26" t="s">
        <v>33</v>
      </c>
      <c r="B55" s="19">
        <f>((IF(B12=1,0,INT((B3-0.1)/0.6+2))))*B7</f>
        <v>0</v>
      </c>
      <c r="C55" s="7"/>
      <c r="D55" s="12">
        <f t="shared" si="1"/>
        <v>0</v>
      </c>
    </row>
    <row r="56" spans="1:4" x14ac:dyDescent="0.2">
      <c r="A56" s="26" t="s">
        <v>42</v>
      </c>
      <c r="B56" s="23">
        <f>IF(B10&lt;&gt;1,B47,0)</f>
        <v>0</v>
      </c>
      <c r="C56" s="7"/>
      <c r="D56" s="12">
        <f t="shared" si="1"/>
        <v>0</v>
      </c>
    </row>
    <row r="57" spans="1:4" x14ac:dyDescent="0.2">
      <c r="A57" s="26" t="s">
        <v>135</v>
      </c>
      <c r="B57" s="19">
        <f>B56</f>
        <v>0</v>
      </c>
      <c r="C57" s="7"/>
      <c r="D57" s="12">
        <f t="shared" si="1"/>
        <v>0</v>
      </c>
    </row>
    <row r="58" spans="1:4" x14ac:dyDescent="0.2">
      <c r="A58" s="26" t="s">
        <v>202</v>
      </c>
      <c r="B58" s="23">
        <f>IF(B11=1,B54+B55,0)</f>
        <v>0</v>
      </c>
      <c r="C58" s="3"/>
      <c r="D58" s="12">
        <f t="shared" si="1"/>
        <v>0</v>
      </c>
    </row>
    <row r="59" spans="1:4" x14ac:dyDescent="0.2">
      <c r="A59" s="26" t="s">
        <v>45</v>
      </c>
      <c r="B59" s="19">
        <f>B47</f>
        <v>0</v>
      </c>
      <c r="C59" s="7"/>
      <c r="D59" s="12">
        <f t="shared" si="1"/>
        <v>0</v>
      </c>
    </row>
    <row r="60" spans="1:4" ht="12" thickBot="1" x14ac:dyDescent="0.25">
      <c r="A60" s="162"/>
      <c r="B60" s="163"/>
      <c r="C60" s="163"/>
      <c r="D60" s="164"/>
    </row>
    <row r="61" spans="1:4" ht="12.75" x14ac:dyDescent="0.2">
      <c r="A61" s="159" t="s">
        <v>193</v>
      </c>
      <c r="B61" s="160"/>
      <c r="C61" s="160"/>
      <c r="D61" s="203"/>
    </row>
    <row r="62" spans="1:4" x14ac:dyDescent="0.2">
      <c r="A62" s="26" t="s">
        <v>50</v>
      </c>
      <c r="B62" s="19">
        <v>1</v>
      </c>
      <c r="C62" s="7"/>
      <c r="D62" s="12">
        <f>B62*C62</f>
        <v>0</v>
      </c>
    </row>
    <row r="63" spans="1:4" ht="12" thickBot="1" x14ac:dyDescent="0.25">
      <c r="A63" s="27" t="s">
        <v>51</v>
      </c>
      <c r="B63" s="44">
        <v>1</v>
      </c>
      <c r="C63" s="11"/>
      <c r="D63" s="13">
        <f>B63*C63</f>
        <v>0</v>
      </c>
    </row>
    <row r="64" spans="1:4" x14ac:dyDescent="0.2">
      <c r="C64" s="2" t="s">
        <v>7</v>
      </c>
      <c r="D64" s="2">
        <f>SUM(D20:D63)</f>
        <v>0</v>
      </c>
    </row>
    <row r="70" spans="5:7" ht="12" thickBot="1" x14ac:dyDescent="0.25">
      <c r="E70" s="213" t="s">
        <v>9</v>
      </c>
      <c r="F70" s="213"/>
      <c r="G70" s="213"/>
    </row>
    <row r="71" spans="5:7" x14ac:dyDescent="0.2">
      <c r="E71" s="210" t="s">
        <v>70</v>
      </c>
      <c r="F71" s="211"/>
      <c r="G71" s="212"/>
    </row>
    <row r="72" spans="5:7" x14ac:dyDescent="0.2">
      <c r="E72" s="39">
        <f>B15</f>
        <v>4</v>
      </c>
      <c r="F72" s="6">
        <f>E72*B6</f>
        <v>4</v>
      </c>
      <c r="G72" s="1">
        <v>0</v>
      </c>
    </row>
    <row r="73" spans="5:7" x14ac:dyDescent="0.2">
      <c r="E73" s="39">
        <f>B15*2</f>
        <v>8</v>
      </c>
      <c r="F73" s="6">
        <f>E73*B7</f>
        <v>0</v>
      </c>
      <c r="G73" s="1">
        <v>0</v>
      </c>
    </row>
    <row r="74" spans="5:7" ht="12" thickBot="1" x14ac:dyDescent="0.25">
      <c r="E74" s="40">
        <f>B15</f>
        <v>4</v>
      </c>
      <c r="F74" s="36">
        <f>E74*B8</f>
        <v>0</v>
      </c>
      <c r="G74" s="41">
        <f>2*B8</f>
        <v>0</v>
      </c>
    </row>
    <row r="75" spans="5:7" ht="12" thickBot="1" x14ac:dyDescent="0.25">
      <c r="E75" s="37">
        <f>SUM(E72:E74)</f>
        <v>16</v>
      </c>
      <c r="F75" s="38">
        <f>SUM(F72:F74)</f>
        <v>4</v>
      </c>
      <c r="G75" s="38">
        <f>SUM(G72:G74)</f>
        <v>0</v>
      </c>
    </row>
    <row r="76" spans="5:7" x14ac:dyDescent="0.2">
      <c r="E76" s="42" t="s">
        <v>66</v>
      </c>
      <c r="F76" s="42" t="s">
        <v>74</v>
      </c>
      <c r="G76" s="42" t="s">
        <v>69</v>
      </c>
    </row>
  </sheetData>
  <mergeCells count="24">
    <mergeCell ref="C6:D6"/>
    <mergeCell ref="C7:D7"/>
    <mergeCell ref="C8:D8"/>
    <mergeCell ref="A1:D1"/>
    <mergeCell ref="A2:D2"/>
    <mergeCell ref="C3:D3"/>
    <mergeCell ref="C4:D4"/>
    <mergeCell ref="C5:D5"/>
    <mergeCell ref="E71:G71"/>
    <mergeCell ref="A9:D9"/>
    <mergeCell ref="C10:D10"/>
    <mergeCell ref="C11:D11"/>
    <mergeCell ref="A45:D45"/>
    <mergeCell ref="A46:D46"/>
    <mergeCell ref="C15:D15"/>
    <mergeCell ref="E70:G70"/>
    <mergeCell ref="A60:D60"/>
    <mergeCell ref="A61:D61"/>
    <mergeCell ref="A44:D44"/>
    <mergeCell ref="A17:D17"/>
    <mergeCell ref="C16:D16"/>
    <mergeCell ref="A14:D14"/>
    <mergeCell ref="C12:D12"/>
    <mergeCell ref="C13:D1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15" zoomScaleNormal="100" workbookViewId="0">
      <selection activeCell="A32" sqref="A32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5.5" bestFit="1" customWidth="1"/>
    <col min="6" max="6" width="6.1640625" bestFit="1" customWidth="1"/>
  </cols>
  <sheetData>
    <row r="1" spans="1:7" ht="27" thickBot="1" x14ac:dyDescent="0.45">
      <c r="A1" s="165" t="s">
        <v>195</v>
      </c>
      <c r="B1" s="166"/>
      <c r="C1" s="166"/>
      <c r="D1" s="219"/>
    </row>
    <row r="2" spans="1:7" ht="15" thickBot="1" x14ac:dyDescent="0.25">
      <c r="A2" s="167" t="s">
        <v>2</v>
      </c>
      <c r="B2" s="168"/>
      <c r="C2" s="168"/>
      <c r="D2" s="169"/>
    </row>
    <row r="3" spans="1:7" x14ac:dyDescent="0.2">
      <c r="A3" s="136" t="s">
        <v>55</v>
      </c>
      <c r="B3" s="5">
        <v>1</v>
      </c>
      <c r="C3" s="220" t="s">
        <v>10</v>
      </c>
      <c r="D3" s="171"/>
    </row>
    <row r="4" spans="1:7" x14ac:dyDescent="0.2">
      <c r="A4" s="137" t="s">
        <v>54</v>
      </c>
      <c r="B4" s="22">
        <v>1</v>
      </c>
      <c r="C4" s="221" t="s">
        <v>10</v>
      </c>
      <c r="D4" s="182"/>
    </row>
    <row r="5" spans="1:7" ht="12" thickBot="1" x14ac:dyDescent="0.25">
      <c r="A5" s="138" t="s">
        <v>53</v>
      </c>
      <c r="B5" s="31">
        <v>0.5</v>
      </c>
      <c r="C5" s="222" t="s">
        <v>10</v>
      </c>
      <c r="D5" s="173"/>
    </row>
    <row r="6" spans="1:7" x14ac:dyDescent="0.2">
      <c r="A6" s="125" t="s">
        <v>133</v>
      </c>
      <c r="B6" s="29">
        <v>1</v>
      </c>
      <c r="C6" s="217" t="s">
        <v>10</v>
      </c>
      <c r="D6" s="218"/>
      <c r="G6" s="14"/>
    </row>
    <row r="7" spans="1:7" x14ac:dyDescent="0.2">
      <c r="A7" s="134" t="s">
        <v>278</v>
      </c>
      <c r="B7" s="28">
        <v>0</v>
      </c>
      <c r="C7" s="183" t="s">
        <v>11</v>
      </c>
      <c r="D7" s="184"/>
      <c r="G7" s="14"/>
    </row>
    <row r="8" spans="1:7" ht="12" thickBot="1" x14ac:dyDescent="0.25">
      <c r="A8" s="214"/>
      <c r="B8" s="215"/>
      <c r="C8" s="215"/>
      <c r="D8" s="216"/>
      <c r="E8" s="14"/>
      <c r="F8" s="14"/>
      <c r="G8" s="14"/>
    </row>
    <row r="9" spans="1:7" ht="12" thickBot="1" x14ac:dyDescent="0.25">
      <c r="A9" s="32" t="s">
        <v>13</v>
      </c>
      <c r="B9" s="33">
        <f>CEILING((B3-0.1)/0.4,1)+1</f>
        <v>4</v>
      </c>
      <c r="C9" s="149" t="s">
        <v>9</v>
      </c>
      <c r="D9" s="150"/>
      <c r="E9" s="14"/>
      <c r="F9" s="14"/>
      <c r="G9" s="14"/>
    </row>
    <row r="10" spans="1:7" ht="12" thickBot="1" x14ac:dyDescent="0.25">
      <c r="A10" s="257"/>
      <c r="B10" s="257"/>
      <c r="C10" s="257"/>
      <c r="D10" s="257"/>
      <c r="E10" s="14"/>
      <c r="F10" s="14"/>
      <c r="G10" s="14"/>
    </row>
    <row r="11" spans="1:7" ht="12.75" x14ac:dyDescent="0.2">
      <c r="A11" s="8" t="s">
        <v>5</v>
      </c>
      <c r="B11" s="25" t="s">
        <v>0</v>
      </c>
      <c r="C11" s="9" t="s">
        <v>3</v>
      </c>
      <c r="D11" s="10" t="s">
        <v>6</v>
      </c>
      <c r="E11" s="14"/>
      <c r="F11" s="14"/>
      <c r="G11" s="14"/>
    </row>
    <row r="12" spans="1:7" x14ac:dyDescent="0.2">
      <c r="A12" s="58" t="s">
        <v>158</v>
      </c>
      <c r="B12" s="6">
        <f>B3*B6</f>
        <v>1</v>
      </c>
      <c r="C12" s="3"/>
      <c r="D12" s="1">
        <f t="shared" ref="D12:D33" si="0">B12*C12</f>
        <v>0</v>
      </c>
      <c r="E12" s="14"/>
      <c r="F12" s="14"/>
      <c r="G12" s="14"/>
    </row>
    <row r="13" spans="1:7" x14ac:dyDescent="0.2">
      <c r="A13" s="26" t="s">
        <v>17</v>
      </c>
      <c r="B13" s="18">
        <f>B3*B6</f>
        <v>1</v>
      </c>
      <c r="C13" s="3"/>
      <c r="D13" s="1">
        <f t="shared" si="0"/>
        <v>0</v>
      </c>
      <c r="E13" s="14"/>
      <c r="F13" s="14"/>
      <c r="G13" s="14"/>
    </row>
    <row r="14" spans="1:7" x14ac:dyDescent="0.2">
      <c r="A14" s="26" t="s">
        <v>16</v>
      </c>
      <c r="B14" s="18">
        <f>B3*B6</f>
        <v>1</v>
      </c>
      <c r="C14" s="3"/>
      <c r="D14" s="1">
        <f t="shared" si="0"/>
        <v>0</v>
      </c>
      <c r="E14" s="14"/>
      <c r="F14" s="14"/>
      <c r="G14" s="14"/>
    </row>
    <row r="15" spans="1:7" x14ac:dyDescent="0.2">
      <c r="A15" s="26" t="s">
        <v>18</v>
      </c>
      <c r="B15" s="18">
        <f>B3*B6</f>
        <v>1</v>
      </c>
      <c r="C15" s="3"/>
      <c r="D15" s="1">
        <f t="shared" si="0"/>
        <v>0</v>
      </c>
      <c r="E15" s="14"/>
      <c r="F15" s="14"/>
      <c r="G15" s="14"/>
    </row>
    <row r="16" spans="1:7" x14ac:dyDescent="0.2">
      <c r="A16" s="26" t="s">
        <v>87</v>
      </c>
      <c r="B16" s="19">
        <f>B3*B6*2</f>
        <v>2</v>
      </c>
      <c r="C16" s="7"/>
      <c r="D16" s="1">
        <f t="shared" si="0"/>
        <v>0</v>
      </c>
    </row>
    <row r="17" spans="1:4" x14ac:dyDescent="0.2">
      <c r="A17" s="26" t="s">
        <v>159</v>
      </c>
      <c r="B17" s="19">
        <f>B3*B6</f>
        <v>1</v>
      </c>
      <c r="C17" s="7"/>
      <c r="D17" s="1">
        <f t="shared" si="0"/>
        <v>0</v>
      </c>
    </row>
    <row r="18" spans="1:4" x14ac:dyDescent="0.2">
      <c r="A18" s="26" t="s">
        <v>160</v>
      </c>
      <c r="B18" s="19">
        <f>(B9-1)*B6</f>
        <v>3</v>
      </c>
      <c r="C18" s="7"/>
      <c r="D18" s="1">
        <f t="shared" si="0"/>
        <v>0</v>
      </c>
    </row>
    <row r="19" spans="1:4" x14ac:dyDescent="0.2">
      <c r="A19" s="26" t="s">
        <v>191</v>
      </c>
      <c r="B19" s="19">
        <f>(IF(B3*B4&lt;=3,1,0))*B6</f>
        <v>1</v>
      </c>
      <c r="C19" s="7"/>
      <c r="D19" s="1">
        <f t="shared" si="0"/>
        <v>0</v>
      </c>
    </row>
    <row r="20" spans="1:4" x14ac:dyDescent="0.2">
      <c r="A20" s="26" t="s">
        <v>189</v>
      </c>
      <c r="B20" s="19">
        <f>IF(B3*B4&gt;3,1,0)</f>
        <v>0</v>
      </c>
      <c r="C20" s="7"/>
      <c r="D20" s="1">
        <f t="shared" si="0"/>
        <v>0</v>
      </c>
    </row>
    <row r="21" spans="1:4" x14ac:dyDescent="0.2">
      <c r="A21" s="26" t="s">
        <v>164</v>
      </c>
      <c r="B21" s="19">
        <f>(IF(B4&gt;2,B9,0))*B6</f>
        <v>0</v>
      </c>
      <c r="C21" s="7"/>
      <c r="D21" s="1">
        <f t="shared" si="0"/>
        <v>0</v>
      </c>
    </row>
    <row r="22" spans="1:4" x14ac:dyDescent="0.2">
      <c r="A22" s="26" t="s">
        <v>165</v>
      </c>
      <c r="B22" s="19">
        <f>(IF(B4&lt;=2,B9,0))*B6</f>
        <v>4</v>
      </c>
      <c r="C22" s="7"/>
      <c r="D22" s="1">
        <f t="shared" si="0"/>
        <v>0</v>
      </c>
    </row>
    <row r="23" spans="1:4" x14ac:dyDescent="0.2">
      <c r="A23" s="26" t="s">
        <v>166</v>
      </c>
      <c r="B23" s="19">
        <f>B6</f>
        <v>1</v>
      </c>
      <c r="C23" s="7"/>
      <c r="D23" s="1">
        <f t="shared" si="0"/>
        <v>0</v>
      </c>
    </row>
    <row r="24" spans="1:4" x14ac:dyDescent="0.2">
      <c r="A24" s="26" t="s">
        <v>167</v>
      </c>
      <c r="B24" s="19">
        <f>B6</f>
        <v>1</v>
      </c>
      <c r="C24" s="7"/>
      <c r="D24" s="1">
        <f t="shared" si="0"/>
        <v>0</v>
      </c>
    </row>
    <row r="25" spans="1:4" x14ac:dyDescent="0.2">
      <c r="A25" s="26" t="s">
        <v>168</v>
      </c>
      <c r="B25" s="19">
        <f>2*B6</f>
        <v>2</v>
      </c>
      <c r="C25" s="7"/>
      <c r="D25" s="1">
        <f t="shared" si="0"/>
        <v>0</v>
      </c>
    </row>
    <row r="26" spans="1:4" x14ac:dyDescent="0.2">
      <c r="A26" s="26" t="s">
        <v>169</v>
      </c>
      <c r="B26" s="19">
        <f>B6*2</f>
        <v>2</v>
      </c>
      <c r="C26" s="7"/>
      <c r="D26" s="1">
        <f t="shared" si="0"/>
        <v>0</v>
      </c>
    </row>
    <row r="27" spans="1:4" x14ac:dyDescent="0.2">
      <c r="A27" s="26" t="s">
        <v>19</v>
      </c>
      <c r="B27" s="19">
        <f>2*B6</f>
        <v>2</v>
      </c>
      <c r="C27" s="7"/>
      <c r="D27" s="1">
        <f t="shared" si="0"/>
        <v>0</v>
      </c>
    </row>
    <row r="28" spans="1:4" x14ac:dyDescent="0.2">
      <c r="A28" s="26" t="s">
        <v>21</v>
      </c>
      <c r="B28" s="19">
        <f>(4*3+B9*3)*B6</f>
        <v>24</v>
      </c>
      <c r="C28" s="7"/>
      <c r="D28" s="1">
        <f t="shared" si="0"/>
        <v>0</v>
      </c>
    </row>
    <row r="29" spans="1:4" x14ac:dyDescent="0.2">
      <c r="A29" s="26" t="s">
        <v>93</v>
      </c>
      <c r="B29" s="19">
        <f>2*B6</f>
        <v>2</v>
      </c>
      <c r="C29" s="7"/>
      <c r="D29" s="1">
        <f t="shared" si="0"/>
        <v>0</v>
      </c>
    </row>
    <row r="30" spans="1:4" x14ac:dyDescent="0.2">
      <c r="A30" s="26" t="s">
        <v>144</v>
      </c>
      <c r="B30" s="19">
        <f>B9*B6</f>
        <v>4</v>
      </c>
      <c r="C30" s="7"/>
      <c r="D30" s="1">
        <f t="shared" si="0"/>
        <v>0</v>
      </c>
    </row>
    <row r="31" spans="1:4" x14ac:dyDescent="0.2">
      <c r="A31" s="26" t="s">
        <v>170</v>
      </c>
      <c r="B31" s="19">
        <f>B6*2</f>
        <v>2</v>
      </c>
      <c r="C31" s="7"/>
      <c r="D31" s="1">
        <f t="shared" si="0"/>
        <v>0</v>
      </c>
    </row>
    <row r="32" spans="1:4" x14ac:dyDescent="0.2">
      <c r="A32" s="26" t="s">
        <v>278</v>
      </c>
      <c r="B32" s="19">
        <f>IF(B7=1,B4*2,0)</f>
        <v>0</v>
      </c>
      <c r="C32" s="7"/>
      <c r="D32" s="1">
        <f t="shared" si="0"/>
        <v>0</v>
      </c>
    </row>
    <row r="33" spans="1:4" x14ac:dyDescent="0.2">
      <c r="A33" s="20" t="s">
        <v>64</v>
      </c>
      <c r="B33" s="19">
        <f>((B4*2+0.4)*2+(B4+0.4)*2)*B6</f>
        <v>7.6</v>
      </c>
      <c r="C33" s="7"/>
      <c r="D33" s="1">
        <f t="shared" si="0"/>
        <v>0</v>
      </c>
    </row>
    <row r="34" spans="1:4" ht="22.5" customHeight="1" x14ac:dyDescent="0.2">
      <c r="A34" s="258" t="s">
        <v>190</v>
      </c>
      <c r="B34" s="259"/>
      <c r="C34" s="259"/>
      <c r="D34" s="260"/>
    </row>
    <row r="35" spans="1:4" ht="12" thickBot="1" x14ac:dyDescent="0.25">
      <c r="A35" s="162"/>
      <c r="B35" s="163"/>
      <c r="C35" s="163"/>
      <c r="D35" s="164"/>
    </row>
    <row r="36" spans="1:4" ht="12.75" x14ac:dyDescent="0.2">
      <c r="A36" s="174" t="s">
        <v>14</v>
      </c>
      <c r="B36" s="175"/>
      <c r="C36" s="175"/>
      <c r="D36" s="176"/>
    </row>
    <row r="37" spans="1:4" x14ac:dyDescent="0.2">
      <c r="A37" s="26" t="s">
        <v>179</v>
      </c>
      <c r="B37" s="19">
        <f>B9*B6</f>
        <v>4</v>
      </c>
      <c r="C37" s="7"/>
      <c r="D37" s="12">
        <f>B37*C37</f>
        <v>0</v>
      </c>
    </row>
    <row r="38" spans="1:4" ht="12" thickBot="1" x14ac:dyDescent="0.25">
      <c r="A38" s="27" t="s">
        <v>33</v>
      </c>
      <c r="B38" s="44">
        <f>B37</f>
        <v>4</v>
      </c>
      <c r="C38" s="11"/>
      <c r="D38" s="13">
        <f>B38*C38</f>
        <v>0</v>
      </c>
    </row>
  </sheetData>
  <mergeCells count="13">
    <mergeCell ref="C5:D5"/>
    <mergeCell ref="A1:D1"/>
    <mergeCell ref="A2:D2"/>
    <mergeCell ref="C3:D3"/>
    <mergeCell ref="C4:D4"/>
    <mergeCell ref="A8:D8"/>
    <mergeCell ref="C6:D6"/>
    <mergeCell ref="A35:D35"/>
    <mergeCell ref="A36:D36"/>
    <mergeCell ref="C9:D9"/>
    <mergeCell ref="A34:D34"/>
    <mergeCell ref="A10:D10"/>
    <mergeCell ref="C7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I23" sqref="I22:J2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215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75">
        <v>0.71</v>
      </c>
      <c r="C3" s="220" t="s">
        <v>10</v>
      </c>
      <c r="D3" s="171"/>
    </row>
    <row r="4" spans="1:8" x14ac:dyDescent="0.2">
      <c r="A4" s="137" t="s">
        <v>54</v>
      </c>
      <c r="B4" s="76">
        <v>1</v>
      </c>
      <c r="C4" s="221" t="s">
        <v>10</v>
      </c>
      <c r="D4" s="182"/>
    </row>
    <row r="5" spans="1:8" ht="12" thickBot="1" x14ac:dyDescent="0.25">
      <c r="A5" s="138" t="s">
        <v>53</v>
      </c>
      <c r="B5" s="77">
        <v>0.5</v>
      </c>
      <c r="C5" s="222" t="s">
        <v>10</v>
      </c>
      <c r="D5" s="173"/>
    </row>
    <row r="6" spans="1:8" x14ac:dyDescent="0.2">
      <c r="A6" s="125" t="s">
        <v>216</v>
      </c>
      <c r="B6" s="29">
        <v>2</v>
      </c>
      <c r="C6" s="217" t="s">
        <v>10</v>
      </c>
      <c r="D6" s="218"/>
      <c r="H6" s="14"/>
    </row>
    <row r="7" spans="1:8" x14ac:dyDescent="0.2">
      <c r="A7" s="126" t="s">
        <v>217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79" t="s">
        <v>14</v>
      </c>
      <c r="B8" s="179"/>
      <c r="C8" s="179"/>
      <c r="D8" s="179"/>
      <c r="H8" s="14"/>
    </row>
    <row r="9" spans="1:8" x14ac:dyDescent="0.2">
      <c r="A9" s="125" t="s">
        <v>218</v>
      </c>
      <c r="B9" s="29">
        <v>0</v>
      </c>
      <c r="C9" s="180" t="s">
        <v>11</v>
      </c>
      <c r="D9" s="154"/>
      <c r="H9" s="14"/>
    </row>
    <row r="10" spans="1:8" x14ac:dyDescent="0.2">
      <c r="A10" s="126" t="s">
        <v>219</v>
      </c>
      <c r="B10" s="28">
        <v>1</v>
      </c>
      <c r="C10" s="183" t="s">
        <v>11</v>
      </c>
      <c r="D10" s="184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81" t="s">
        <v>11</v>
      </c>
      <c r="D11" s="182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83" t="s">
        <v>11</v>
      </c>
      <c r="D12" s="184"/>
      <c r="F12" s="14"/>
      <c r="G12" s="14"/>
      <c r="H12" s="14"/>
    </row>
    <row r="13" spans="1:8" x14ac:dyDescent="0.2">
      <c r="A13" s="126" t="s">
        <v>222</v>
      </c>
      <c r="B13" s="24">
        <v>1</v>
      </c>
      <c r="C13" s="181" t="s">
        <v>11</v>
      </c>
      <c r="D13" s="182"/>
      <c r="F13" s="14"/>
      <c r="G13" s="14"/>
      <c r="H13" s="14"/>
    </row>
    <row r="14" spans="1:8" ht="12" thickBot="1" x14ac:dyDescent="0.25">
      <c r="A14" s="214"/>
      <c r="B14" s="215"/>
      <c r="C14" s="215"/>
      <c r="D14" s="216"/>
      <c r="F14" s="14"/>
      <c r="G14" s="14"/>
      <c r="H14" s="14"/>
    </row>
    <row r="15" spans="1:8" ht="12" thickBot="1" x14ac:dyDescent="0.25">
      <c r="A15" s="86" t="s">
        <v>255</v>
      </c>
      <c r="B15" s="33">
        <v>2</v>
      </c>
      <c r="C15" s="149" t="s">
        <v>256</v>
      </c>
      <c r="D15" s="150"/>
      <c r="F15" s="14"/>
      <c r="G15" s="14"/>
      <c r="H15" s="14"/>
    </row>
    <row r="16" spans="1:8" x14ac:dyDescent="0.2">
      <c r="A16" s="32" t="s">
        <v>13</v>
      </c>
      <c r="B16" s="33">
        <f>CEILING((B3-0.15)/0.55,1)+1</f>
        <v>3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A18" s="257"/>
      <c r="B18" s="257"/>
      <c r="C18" s="257"/>
      <c r="D18" s="257"/>
      <c r="F18" s="14"/>
      <c r="G18" s="14"/>
      <c r="H18" s="14"/>
    </row>
    <row r="19" spans="1:8" ht="12.75" x14ac:dyDescent="0.2">
      <c r="A19" s="87" t="s">
        <v>5</v>
      </c>
      <c r="B19" s="88" t="s">
        <v>0</v>
      </c>
      <c r="C19" s="9" t="s">
        <v>3</v>
      </c>
      <c r="D19" s="89" t="s">
        <v>6</v>
      </c>
      <c r="F19" s="14"/>
      <c r="G19" s="14"/>
      <c r="H19" s="14"/>
    </row>
    <row r="20" spans="1:8" x14ac:dyDescent="0.2">
      <c r="A20" s="26" t="s">
        <v>223</v>
      </c>
      <c r="B20" s="18">
        <f>(B3-0.003)*B17</f>
        <v>2.121</v>
      </c>
      <c r="C20" s="3"/>
      <c r="D20" s="1">
        <f t="shared" ref="D20:D45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</f>
        <v>2.121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(B3-0.003)*B17*2</f>
        <v>4.242</v>
      </c>
      <c r="C22" s="7"/>
      <c r="D22" s="90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4.2479999999999993</v>
      </c>
      <c r="C23" s="7"/>
      <c r="D23" s="90">
        <f t="shared" si="0"/>
        <v>0</v>
      </c>
    </row>
    <row r="24" spans="1:8" x14ac:dyDescent="0.2">
      <c r="A24" s="26" t="s">
        <v>197</v>
      </c>
      <c r="B24" s="19">
        <f>B17*2</f>
        <v>6</v>
      </c>
      <c r="C24" s="7"/>
      <c r="D24" s="90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90">
        <f t="shared" si="0"/>
        <v>0</v>
      </c>
    </row>
    <row r="26" spans="1:8" x14ac:dyDescent="0.2">
      <c r="A26" s="26" t="s">
        <v>235</v>
      </c>
      <c r="B26" s="19">
        <f>2*B7</f>
        <v>2</v>
      </c>
      <c r="C26" s="7"/>
      <c r="D26" s="90">
        <f t="shared" si="0"/>
        <v>0</v>
      </c>
    </row>
    <row r="27" spans="1:8" x14ac:dyDescent="0.2">
      <c r="A27" s="26" t="s">
        <v>227</v>
      </c>
      <c r="B27" s="19">
        <f>3*B17</f>
        <v>9</v>
      </c>
      <c r="C27" s="7"/>
      <c r="D27" s="90">
        <f t="shared" si="0"/>
        <v>0</v>
      </c>
    </row>
    <row r="28" spans="1:8" x14ac:dyDescent="0.2">
      <c r="A28" s="26" t="s">
        <v>230</v>
      </c>
      <c r="B28" s="19">
        <f>B16*2*B17</f>
        <v>18</v>
      </c>
      <c r="C28" s="7"/>
      <c r="D28" s="90">
        <f t="shared" si="0"/>
        <v>0</v>
      </c>
    </row>
    <row r="29" spans="1:8" x14ac:dyDescent="0.2">
      <c r="A29" s="26" t="s">
        <v>231</v>
      </c>
      <c r="B29" s="19">
        <f>IF(B16&lt;=4,1,2)*B17</f>
        <v>3</v>
      </c>
      <c r="C29" s="7"/>
      <c r="D29" s="90">
        <f t="shared" si="0"/>
        <v>0</v>
      </c>
    </row>
    <row r="30" spans="1:8" x14ac:dyDescent="0.2">
      <c r="A30" s="26" t="s">
        <v>232</v>
      </c>
      <c r="B30" s="19">
        <f>IF($B$15=1,$B$16*$B$17,0)</f>
        <v>0</v>
      </c>
      <c r="C30" s="7"/>
      <c r="D30" s="90">
        <f t="shared" si="0"/>
        <v>0</v>
      </c>
    </row>
    <row r="31" spans="1:8" x14ac:dyDescent="0.2">
      <c r="A31" s="26" t="s">
        <v>233</v>
      </c>
      <c r="B31" s="19">
        <f>$B$30</f>
        <v>0</v>
      </c>
      <c r="C31" s="7"/>
      <c r="D31" s="90">
        <f t="shared" si="0"/>
        <v>0</v>
      </c>
    </row>
    <row r="32" spans="1:8" x14ac:dyDescent="0.2">
      <c r="A32" s="26" t="s">
        <v>21</v>
      </c>
      <c r="B32" s="19">
        <f>B16*2*B17+4*B7</f>
        <v>22</v>
      </c>
      <c r="C32" s="7"/>
      <c r="D32" s="90">
        <f t="shared" si="0"/>
        <v>0</v>
      </c>
    </row>
    <row r="33" spans="1:5" x14ac:dyDescent="0.2">
      <c r="A33" s="26" t="s">
        <v>112</v>
      </c>
      <c r="B33" s="19">
        <f>1*B7</f>
        <v>1</v>
      </c>
      <c r="C33" s="7"/>
      <c r="D33" s="90">
        <f t="shared" si="0"/>
        <v>0</v>
      </c>
    </row>
    <row r="34" spans="1:5" x14ac:dyDescent="0.2">
      <c r="A34" s="26" t="s">
        <v>228</v>
      </c>
      <c r="B34" s="19">
        <f>B17</f>
        <v>3</v>
      </c>
      <c r="C34" s="7"/>
      <c r="D34" s="90">
        <f t="shared" si="0"/>
        <v>0</v>
      </c>
    </row>
    <row r="35" spans="1:5" x14ac:dyDescent="0.2">
      <c r="A35" s="26" t="s">
        <v>64</v>
      </c>
      <c r="B35" s="19">
        <f>(B4*B16+B16*B3+0.2)*B17+($B$3+2*$B$4+0.3)*$B$7</f>
        <v>19</v>
      </c>
      <c r="C35" s="7"/>
      <c r="D35" s="90">
        <f t="shared" si="0"/>
        <v>0</v>
      </c>
      <c r="E35" s="15"/>
    </row>
    <row r="36" spans="1:5" x14ac:dyDescent="0.2">
      <c r="A36" s="26" t="s">
        <v>234</v>
      </c>
      <c r="B36" s="19">
        <f>IF(B15=1,(B4+0.1)*B16*B17,0)</f>
        <v>0</v>
      </c>
      <c r="C36" s="7"/>
      <c r="D36" s="90">
        <f t="shared" si="0"/>
        <v>0</v>
      </c>
      <c r="E36" s="15"/>
    </row>
    <row r="37" spans="1:5" x14ac:dyDescent="0.2">
      <c r="A37" s="26" t="s">
        <v>213</v>
      </c>
      <c r="B37" s="19">
        <f>B5*B17</f>
        <v>1.5</v>
      </c>
      <c r="C37" s="7"/>
      <c r="D37" s="90">
        <f t="shared" si="0"/>
        <v>0</v>
      </c>
      <c r="E37" s="15"/>
    </row>
    <row r="38" spans="1:5" ht="12" thickBot="1" x14ac:dyDescent="0.25">
      <c r="A38" s="27" t="s">
        <v>260</v>
      </c>
      <c r="B38" s="44">
        <v>1</v>
      </c>
      <c r="C38" s="11"/>
      <c r="D38" s="91">
        <f t="shared" si="0"/>
        <v>0</v>
      </c>
      <c r="E38" s="15"/>
    </row>
    <row r="39" spans="1:5" ht="12" thickBot="1" x14ac:dyDescent="0.25">
      <c r="A39" s="162"/>
      <c r="B39" s="163"/>
      <c r="C39" s="163"/>
      <c r="D39" s="164"/>
    </row>
    <row r="40" spans="1:5" ht="12.75" x14ac:dyDescent="0.2">
      <c r="A40" s="174" t="s">
        <v>14</v>
      </c>
      <c r="B40" s="175"/>
      <c r="C40" s="175"/>
      <c r="D40" s="176"/>
    </row>
    <row r="41" spans="1:5" x14ac:dyDescent="0.2">
      <c r="A41" s="26" t="s">
        <v>236</v>
      </c>
      <c r="B41" s="16">
        <f>IF(B9=1,F56*B17,0)</f>
        <v>0</v>
      </c>
      <c r="C41" s="7"/>
      <c r="D41" s="74">
        <f t="shared" si="0"/>
        <v>0</v>
      </c>
      <c r="E41" s="15"/>
    </row>
    <row r="42" spans="1:5" x14ac:dyDescent="0.2">
      <c r="A42" s="26" t="s">
        <v>201</v>
      </c>
      <c r="B42" s="16">
        <f>B7*2</f>
        <v>2</v>
      </c>
      <c r="C42" s="7"/>
      <c r="D42" s="74">
        <f t="shared" si="0"/>
        <v>0</v>
      </c>
      <c r="E42" s="15"/>
    </row>
    <row r="43" spans="1:5" x14ac:dyDescent="0.2">
      <c r="A43" s="26" t="s">
        <v>219</v>
      </c>
      <c r="B43" s="16">
        <f>IF(B10=1,F56*B17+2*B7,0)</f>
        <v>8</v>
      </c>
      <c r="C43" s="7"/>
      <c r="D43" s="74">
        <f t="shared" si="0"/>
        <v>0</v>
      </c>
      <c r="E43" s="15"/>
    </row>
    <row r="44" spans="1:5" x14ac:dyDescent="0.2">
      <c r="A44" s="26" t="s">
        <v>220</v>
      </c>
      <c r="B44" s="16">
        <f>IF(B11=1,F56*B17+2*B7,0)</f>
        <v>0</v>
      </c>
      <c r="C44" s="7"/>
      <c r="D44" s="74">
        <v>0</v>
      </c>
    </row>
    <row r="45" spans="1:5" x14ac:dyDescent="0.2">
      <c r="A45" s="26" t="s">
        <v>221</v>
      </c>
      <c r="B45" s="16">
        <f>IF(B12=1,F56*B17+2*B7,0)</f>
        <v>0</v>
      </c>
      <c r="C45" s="7"/>
      <c r="D45" s="74">
        <f t="shared" si="0"/>
        <v>0</v>
      </c>
    </row>
    <row r="46" spans="1:5" x14ac:dyDescent="0.2">
      <c r="A46" s="26" t="s">
        <v>222</v>
      </c>
      <c r="B46" s="16">
        <f>IF(B13=1,F56*B17+2*B7,0)</f>
        <v>8</v>
      </c>
      <c r="C46" s="7"/>
      <c r="D46" s="74">
        <f>B46*C46</f>
        <v>0</v>
      </c>
    </row>
    <row r="47" spans="1:5" x14ac:dyDescent="0.2">
      <c r="A47" s="26"/>
      <c r="B47" s="16"/>
      <c r="C47" s="7"/>
      <c r="D47" s="74"/>
    </row>
    <row r="48" spans="1:5" x14ac:dyDescent="0.2">
      <c r="A48" s="26"/>
      <c r="B48" s="16"/>
      <c r="C48" s="7" t="s">
        <v>7</v>
      </c>
      <c r="D48" s="74">
        <f>SUM(D20:D47)</f>
        <v>0</v>
      </c>
    </row>
    <row r="52" spans="6:8" x14ac:dyDescent="0.2">
      <c r="G52">
        <f>CEILING((B3-0.15)/0.6,1)+1</f>
        <v>2</v>
      </c>
    </row>
    <row r="54" spans="6:8" ht="12" thickBot="1" x14ac:dyDescent="0.25">
      <c r="F54" s="213" t="s">
        <v>9</v>
      </c>
      <c r="G54" s="213"/>
      <c r="H54" s="213"/>
    </row>
    <row r="55" spans="6:8" x14ac:dyDescent="0.2">
      <c r="F55" s="210" t="s">
        <v>70</v>
      </c>
      <c r="G55" s="211"/>
      <c r="H55" s="212"/>
    </row>
    <row r="56" spans="6:8" x14ac:dyDescent="0.2">
      <c r="F56" s="39">
        <f>G52</f>
        <v>2</v>
      </c>
      <c r="G56" s="6">
        <f>F56*B6</f>
        <v>4</v>
      </c>
      <c r="H56" s="1">
        <v>0</v>
      </c>
    </row>
    <row r="57" spans="6:8" x14ac:dyDescent="0.2">
      <c r="F57" s="39">
        <f>G52*2</f>
        <v>4</v>
      </c>
      <c r="G57" s="6">
        <f>F57*B7</f>
        <v>4</v>
      </c>
      <c r="H57" s="1">
        <v>0</v>
      </c>
    </row>
    <row r="58" spans="6:8" ht="12" thickBot="1" x14ac:dyDescent="0.25">
      <c r="F58" s="40">
        <f>G52</f>
        <v>2</v>
      </c>
      <c r="G58" s="36" t="e">
        <f>F58*#REF!</f>
        <v>#REF!</v>
      </c>
      <c r="H58" s="41" t="e">
        <f>2*#REF!</f>
        <v>#REF!</v>
      </c>
    </row>
    <row r="59" spans="6:8" ht="12" thickBot="1" x14ac:dyDescent="0.25">
      <c r="F59" s="37">
        <f>SUM(F56:F58)</f>
        <v>8</v>
      </c>
      <c r="G59" s="38" t="e">
        <f>SUM(G56:G58)</f>
        <v>#REF!</v>
      </c>
      <c r="H59" s="38" t="e">
        <f>SUM(H56:H58)</f>
        <v>#REF!</v>
      </c>
    </row>
    <row r="60" spans="6:8" x14ac:dyDescent="0.2">
      <c r="F60" s="42" t="s">
        <v>66</v>
      </c>
      <c r="G60" s="42" t="s">
        <v>74</v>
      </c>
      <c r="H60" s="42" t="s">
        <v>69</v>
      </c>
    </row>
  </sheetData>
  <mergeCells count="22">
    <mergeCell ref="A39:D39"/>
    <mergeCell ref="A40:D40"/>
    <mergeCell ref="F54:H54"/>
    <mergeCell ref="F55:H55"/>
    <mergeCell ref="C12:D12"/>
    <mergeCell ref="C13:D13"/>
    <mergeCell ref="A14:D14"/>
    <mergeCell ref="C16:D16"/>
    <mergeCell ref="C17:D17"/>
    <mergeCell ref="A18:D18"/>
    <mergeCell ref="C6:D6"/>
    <mergeCell ref="C15:D15"/>
    <mergeCell ref="A1:D1"/>
    <mergeCell ref="A2:D2"/>
    <mergeCell ref="C3:D3"/>
    <mergeCell ref="C4:D4"/>
    <mergeCell ref="C5:D5"/>
    <mergeCell ref="C7:D7"/>
    <mergeCell ref="A8:D8"/>
    <mergeCell ref="C9:D9"/>
    <mergeCell ref="C10:D10"/>
    <mergeCell ref="C11:D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H26" sqref="H26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237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75">
        <v>2</v>
      </c>
      <c r="C3" s="220" t="s">
        <v>10</v>
      </c>
      <c r="D3" s="171"/>
    </row>
    <row r="4" spans="1:8" x14ac:dyDescent="0.2">
      <c r="A4" s="137" t="s">
        <v>54</v>
      </c>
      <c r="B4" s="76">
        <v>1</v>
      </c>
      <c r="C4" s="221" t="s">
        <v>10</v>
      </c>
      <c r="D4" s="182"/>
    </row>
    <row r="5" spans="1:8" ht="12" thickBot="1" x14ac:dyDescent="0.25">
      <c r="A5" s="138" t="s">
        <v>53</v>
      </c>
      <c r="B5" s="77">
        <v>0.5</v>
      </c>
      <c r="C5" s="222" t="s">
        <v>10</v>
      </c>
      <c r="D5" s="173"/>
    </row>
    <row r="6" spans="1:8" x14ac:dyDescent="0.2">
      <c r="A6" s="125" t="s">
        <v>239</v>
      </c>
      <c r="B6" s="29">
        <v>2</v>
      </c>
      <c r="C6" s="217" t="s">
        <v>10</v>
      </c>
      <c r="D6" s="218"/>
      <c r="H6" s="14"/>
    </row>
    <row r="7" spans="1:8" x14ac:dyDescent="0.2">
      <c r="A7" s="126" t="s">
        <v>240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79" t="s">
        <v>14</v>
      </c>
      <c r="B8" s="179"/>
      <c r="C8" s="179"/>
      <c r="D8" s="179"/>
      <c r="H8" s="14"/>
    </row>
    <row r="9" spans="1:8" x14ac:dyDescent="0.2">
      <c r="A9" s="125" t="s">
        <v>218</v>
      </c>
      <c r="B9" s="29">
        <v>0</v>
      </c>
      <c r="C9" s="180" t="s">
        <v>11</v>
      </c>
      <c r="D9" s="154"/>
      <c r="H9" s="14"/>
    </row>
    <row r="10" spans="1:8" x14ac:dyDescent="0.2">
      <c r="A10" s="126" t="s">
        <v>219</v>
      </c>
      <c r="B10" s="28">
        <v>0</v>
      </c>
      <c r="C10" s="183" t="s">
        <v>11</v>
      </c>
      <c r="D10" s="184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81" t="s">
        <v>11</v>
      </c>
      <c r="D11" s="182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83" t="s">
        <v>11</v>
      </c>
      <c r="D12" s="184"/>
      <c r="F12" s="14"/>
      <c r="G12" s="14"/>
      <c r="H12" s="14"/>
    </row>
    <row r="13" spans="1:8" x14ac:dyDescent="0.2">
      <c r="A13" s="126" t="s">
        <v>222</v>
      </c>
      <c r="B13" s="24">
        <v>1</v>
      </c>
      <c r="C13" s="181" t="s">
        <v>11</v>
      </c>
      <c r="D13" s="182"/>
      <c r="F13" s="14"/>
      <c r="G13" s="14"/>
      <c r="H13" s="14"/>
    </row>
    <row r="14" spans="1:8" ht="12" thickBot="1" x14ac:dyDescent="0.25">
      <c r="A14" s="214"/>
      <c r="B14" s="215"/>
      <c r="C14" s="215"/>
      <c r="D14" s="216"/>
      <c r="F14" s="14"/>
      <c r="G14" s="14"/>
      <c r="H14" s="14"/>
    </row>
    <row r="15" spans="1:8" ht="12" thickBot="1" x14ac:dyDescent="0.25">
      <c r="A15" s="86" t="s">
        <v>255</v>
      </c>
      <c r="B15" s="33">
        <v>2</v>
      </c>
      <c r="C15" s="149" t="s">
        <v>256</v>
      </c>
      <c r="D15" s="150"/>
      <c r="F15" s="14"/>
      <c r="G15" s="14"/>
      <c r="H15" s="14"/>
    </row>
    <row r="16" spans="1:8" x14ac:dyDescent="0.2">
      <c r="A16" s="32" t="s">
        <v>13</v>
      </c>
      <c r="B16" s="33">
        <f>CEILING((B3-0.15)/0.55,1)+1</f>
        <v>5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A18" s="207"/>
      <c r="B18" s="207"/>
      <c r="C18" s="207"/>
      <c r="D18" s="207"/>
      <c r="F18" s="14"/>
      <c r="G18" s="14"/>
      <c r="H18" s="14"/>
    </row>
    <row r="19" spans="1:8" ht="12.75" x14ac:dyDescent="0.2">
      <c r="A19" s="71" t="s">
        <v>5</v>
      </c>
      <c r="B19" s="72" t="s">
        <v>0</v>
      </c>
      <c r="C19" s="9" t="s">
        <v>3</v>
      </c>
      <c r="D19" s="73" t="s">
        <v>6</v>
      </c>
      <c r="F19" s="14"/>
      <c r="G19" s="14"/>
      <c r="H19" s="14"/>
    </row>
    <row r="20" spans="1:8" x14ac:dyDescent="0.2">
      <c r="A20" s="26" t="s">
        <v>223</v>
      </c>
      <c r="B20" s="18">
        <f>(B3-0.003)*B17</f>
        <v>5.9910000000000005</v>
      </c>
      <c r="C20" s="3"/>
      <c r="D20" s="1">
        <f t="shared" ref="D20:D46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(B3-0.003)*B17*2</f>
        <v>11.982000000000001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(B3-0.003)*B17*3</f>
        <v>17.973000000000003</v>
      </c>
      <c r="C22" s="7"/>
      <c r="D22" s="74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11.988</v>
      </c>
      <c r="C23" s="7"/>
      <c r="D23" s="74">
        <f t="shared" si="0"/>
        <v>0</v>
      </c>
    </row>
    <row r="24" spans="1:8" x14ac:dyDescent="0.2">
      <c r="A24" s="26" t="s">
        <v>197</v>
      </c>
      <c r="B24" s="19">
        <f>B17*4</f>
        <v>12</v>
      </c>
      <c r="C24" s="7"/>
      <c r="D24" s="74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90">
        <f t="shared" si="0"/>
        <v>0</v>
      </c>
    </row>
    <row r="26" spans="1:8" x14ac:dyDescent="0.2">
      <c r="A26" s="26" t="s">
        <v>235</v>
      </c>
      <c r="B26" s="19">
        <f>2*B7</f>
        <v>2</v>
      </c>
      <c r="C26" s="7"/>
      <c r="D26" s="74">
        <f t="shared" si="0"/>
        <v>0</v>
      </c>
    </row>
    <row r="27" spans="1:8" x14ac:dyDescent="0.2">
      <c r="A27" s="26" t="s">
        <v>227</v>
      </c>
      <c r="B27" s="19">
        <f>4*B17</f>
        <v>12</v>
      </c>
      <c r="C27" s="7"/>
      <c r="D27" s="74">
        <f t="shared" si="0"/>
        <v>0</v>
      </c>
    </row>
    <row r="28" spans="1:8" x14ac:dyDescent="0.2">
      <c r="A28" s="26" t="s">
        <v>230</v>
      </c>
      <c r="B28" s="19">
        <f>B16*3*B17</f>
        <v>45</v>
      </c>
      <c r="C28" s="7"/>
      <c r="D28" s="74">
        <f t="shared" si="0"/>
        <v>0</v>
      </c>
    </row>
    <row r="29" spans="1:8" x14ac:dyDescent="0.2">
      <c r="A29" s="26" t="s">
        <v>231</v>
      </c>
      <c r="B29" s="19">
        <f>IF(B16&lt;=4,1,2)*B17</f>
        <v>6</v>
      </c>
      <c r="C29" s="7"/>
      <c r="D29" s="74">
        <f t="shared" si="0"/>
        <v>0</v>
      </c>
    </row>
    <row r="30" spans="1:8" x14ac:dyDescent="0.2">
      <c r="A30" s="26" t="s">
        <v>232</v>
      </c>
      <c r="B30" s="19">
        <f>IF($B$15=1,$B$16*$B$17,0)</f>
        <v>0</v>
      </c>
      <c r="C30" s="7"/>
      <c r="D30" s="74">
        <f t="shared" si="0"/>
        <v>0</v>
      </c>
    </row>
    <row r="31" spans="1:8" x14ac:dyDescent="0.2">
      <c r="A31" s="26" t="s">
        <v>233</v>
      </c>
      <c r="B31" s="19">
        <f>B30</f>
        <v>0</v>
      </c>
      <c r="C31" s="7"/>
      <c r="D31" s="74">
        <f t="shared" si="0"/>
        <v>0</v>
      </c>
    </row>
    <row r="32" spans="1:8" x14ac:dyDescent="0.2">
      <c r="A32" s="26" t="s">
        <v>21</v>
      </c>
      <c r="B32" s="19">
        <f>B16*4*B17+8*B7</f>
        <v>68</v>
      </c>
      <c r="C32" s="7"/>
      <c r="D32" s="74">
        <f t="shared" si="0"/>
        <v>0</v>
      </c>
    </row>
    <row r="33" spans="1:5" x14ac:dyDescent="0.2">
      <c r="A33" s="26" t="s">
        <v>112</v>
      </c>
      <c r="B33" s="19">
        <f>1*B7</f>
        <v>1</v>
      </c>
      <c r="C33" s="7"/>
      <c r="D33" s="74">
        <f t="shared" si="0"/>
        <v>0</v>
      </c>
    </row>
    <row r="34" spans="1:5" x14ac:dyDescent="0.2">
      <c r="A34" s="26" t="s">
        <v>241</v>
      </c>
      <c r="B34" s="19">
        <f>B17</f>
        <v>3</v>
      </c>
      <c r="C34" s="7"/>
      <c r="D34" s="74">
        <f t="shared" ref="D34" si="1">B34*C34</f>
        <v>0</v>
      </c>
    </row>
    <row r="35" spans="1:5" x14ac:dyDescent="0.2">
      <c r="A35" s="26" t="s">
        <v>226</v>
      </c>
      <c r="B35" s="19">
        <f>B17</f>
        <v>3</v>
      </c>
      <c r="C35" s="7"/>
      <c r="D35" s="74">
        <f t="shared" si="0"/>
        <v>0</v>
      </c>
    </row>
    <row r="36" spans="1:5" x14ac:dyDescent="0.2">
      <c r="A36" s="26" t="s">
        <v>64</v>
      </c>
      <c r="B36" s="19">
        <f>(B4*B16+B16*B3+0.2)*B17*2+($B$3+2*$B$4+0.3)*$B$7</f>
        <v>95.499999999999986</v>
      </c>
      <c r="C36" s="7"/>
      <c r="D36" s="74">
        <f t="shared" si="0"/>
        <v>0</v>
      </c>
      <c r="E36" s="15"/>
    </row>
    <row r="37" spans="1:5" x14ac:dyDescent="0.2">
      <c r="A37" s="26" t="s">
        <v>234</v>
      </c>
      <c r="B37" s="19">
        <f>IF(B15=1,(B4+0.1)*B16*B17,0)</f>
        <v>0</v>
      </c>
      <c r="C37" s="7"/>
      <c r="D37" s="74">
        <f t="shared" si="0"/>
        <v>0</v>
      </c>
      <c r="E37" s="15"/>
    </row>
    <row r="38" spans="1:5" x14ac:dyDescent="0.2">
      <c r="A38" s="26" t="s">
        <v>213</v>
      </c>
      <c r="B38" s="19">
        <f>B5*B17</f>
        <v>1.5</v>
      </c>
      <c r="C38" s="7"/>
      <c r="D38" s="74">
        <f>B38*C38</f>
        <v>0</v>
      </c>
      <c r="E38" s="15"/>
    </row>
    <row r="39" spans="1:5" ht="12" thickBot="1" x14ac:dyDescent="0.25">
      <c r="A39" s="27" t="s">
        <v>260</v>
      </c>
      <c r="B39" s="44">
        <v>1</v>
      </c>
      <c r="C39" s="11"/>
      <c r="D39" s="91">
        <f t="shared" ref="D39" si="2">B39*C39</f>
        <v>0</v>
      </c>
      <c r="E39" s="15"/>
    </row>
    <row r="40" spans="1:5" ht="12" thickBot="1" x14ac:dyDescent="0.25">
      <c r="A40" s="162"/>
      <c r="B40" s="163"/>
      <c r="C40" s="163"/>
      <c r="D40" s="164"/>
    </row>
    <row r="41" spans="1:5" ht="12.75" x14ac:dyDescent="0.2">
      <c r="A41" s="174" t="s">
        <v>14</v>
      </c>
      <c r="B41" s="175"/>
      <c r="C41" s="175"/>
      <c r="D41" s="176"/>
    </row>
    <row r="42" spans="1:5" x14ac:dyDescent="0.2">
      <c r="A42" s="26" t="s">
        <v>236</v>
      </c>
      <c r="B42" s="16">
        <f>IF(B9=1,F57*B17,0)</f>
        <v>0</v>
      </c>
      <c r="C42" s="7"/>
      <c r="D42" s="74">
        <f t="shared" si="0"/>
        <v>0</v>
      </c>
      <c r="E42" s="15"/>
    </row>
    <row r="43" spans="1:5" x14ac:dyDescent="0.2">
      <c r="A43" s="26" t="s">
        <v>201</v>
      </c>
      <c r="B43" s="16">
        <f>B7*2</f>
        <v>2</v>
      </c>
      <c r="C43" s="7"/>
      <c r="D43" s="74">
        <f t="shared" si="0"/>
        <v>0</v>
      </c>
      <c r="E43" s="15"/>
    </row>
    <row r="44" spans="1:5" x14ac:dyDescent="0.2">
      <c r="A44" s="26" t="s">
        <v>219</v>
      </c>
      <c r="B44" s="16">
        <f>IF(B10=1,F57*B17+2*B7,0)</f>
        <v>0</v>
      </c>
      <c r="C44" s="7"/>
      <c r="D44" s="74">
        <f t="shared" si="0"/>
        <v>0</v>
      </c>
      <c r="E44" s="15"/>
    </row>
    <row r="45" spans="1:5" x14ac:dyDescent="0.2">
      <c r="A45" s="26" t="s">
        <v>220</v>
      </c>
      <c r="B45" s="16">
        <f>IF(B11=1,F57*B17+2*B7,0)</f>
        <v>0</v>
      </c>
      <c r="C45" s="7"/>
      <c r="D45" s="74">
        <v>0</v>
      </c>
    </row>
    <row r="46" spans="1:5" x14ac:dyDescent="0.2">
      <c r="A46" s="26" t="s">
        <v>221</v>
      </c>
      <c r="B46" s="16">
        <f>IF(B12=1,F57*B17+2*B7,0)</f>
        <v>0</v>
      </c>
      <c r="C46" s="7"/>
      <c r="D46" s="74">
        <f t="shared" si="0"/>
        <v>0</v>
      </c>
    </row>
    <row r="47" spans="1:5" x14ac:dyDescent="0.2">
      <c r="A47" s="26" t="s">
        <v>222</v>
      </c>
      <c r="B47" s="16">
        <f>IF(B13=1,F57*B17+2*B7,0)</f>
        <v>17</v>
      </c>
      <c r="C47" s="7"/>
      <c r="D47" s="74">
        <f>B47*C47</f>
        <v>0</v>
      </c>
    </row>
    <row r="48" spans="1:5" x14ac:dyDescent="0.2">
      <c r="A48" s="26"/>
      <c r="B48" s="16"/>
      <c r="C48" s="7"/>
      <c r="D48" s="74"/>
    </row>
    <row r="49" spans="1:8" x14ac:dyDescent="0.2">
      <c r="A49" s="26"/>
      <c r="B49" s="16"/>
      <c r="C49" s="7" t="s">
        <v>7</v>
      </c>
      <c r="D49" s="74">
        <f>SUM(D20:D48)</f>
        <v>0</v>
      </c>
    </row>
    <row r="53" spans="1:8" x14ac:dyDescent="0.2">
      <c r="G53">
        <f>CEILING((B3-0.15)/0.6,1)+1</f>
        <v>5</v>
      </c>
    </row>
    <row r="55" spans="1:8" ht="12" thickBot="1" x14ac:dyDescent="0.25">
      <c r="F55" s="213" t="s">
        <v>9</v>
      </c>
      <c r="G55" s="213"/>
      <c r="H55" s="213"/>
    </row>
    <row r="56" spans="1:8" x14ac:dyDescent="0.2">
      <c r="F56" s="210" t="s">
        <v>70</v>
      </c>
      <c r="G56" s="211"/>
      <c r="H56" s="212"/>
    </row>
    <row r="57" spans="1:8" x14ac:dyDescent="0.2">
      <c r="F57" s="39">
        <f>G53</f>
        <v>5</v>
      </c>
      <c r="G57" s="6">
        <f>F57*B6</f>
        <v>10</v>
      </c>
      <c r="H57" s="1">
        <v>0</v>
      </c>
    </row>
    <row r="58" spans="1:8" x14ac:dyDescent="0.2">
      <c r="F58" s="39">
        <f>G53*2</f>
        <v>10</v>
      </c>
      <c r="G58" s="6">
        <f>F58*B7</f>
        <v>10</v>
      </c>
      <c r="H58" s="1">
        <v>0</v>
      </c>
    </row>
    <row r="59" spans="1:8" ht="12" thickBot="1" x14ac:dyDescent="0.25">
      <c r="F59" s="40">
        <f>G53</f>
        <v>5</v>
      </c>
      <c r="G59" s="36" t="e">
        <f>F59*#REF!</f>
        <v>#REF!</v>
      </c>
      <c r="H59" s="41" t="e">
        <f>2*#REF!</f>
        <v>#REF!</v>
      </c>
    </row>
    <row r="60" spans="1:8" ht="12" thickBot="1" x14ac:dyDescent="0.25">
      <c r="F60" s="37">
        <f>SUM(F57:F59)</f>
        <v>20</v>
      </c>
      <c r="G60" s="38" t="e">
        <f>SUM(G57:G59)</f>
        <v>#REF!</v>
      </c>
      <c r="H60" s="38" t="e">
        <f>SUM(H57:H59)</f>
        <v>#REF!</v>
      </c>
    </row>
    <row r="61" spans="1:8" x14ac:dyDescent="0.2">
      <c r="F61" s="42" t="s">
        <v>66</v>
      </c>
      <c r="G61" s="42" t="s">
        <v>74</v>
      </c>
      <c r="H61" s="42" t="s">
        <v>69</v>
      </c>
    </row>
  </sheetData>
  <mergeCells count="22">
    <mergeCell ref="A40:D40"/>
    <mergeCell ref="F55:H55"/>
    <mergeCell ref="A41:D41"/>
    <mergeCell ref="F56:H56"/>
    <mergeCell ref="C13:D13"/>
    <mergeCell ref="A14:D14"/>
    <mergeCell ref="C16:D16"/>
    <mergeCell ref="C17:D17"/>
    <mergeCell ref="A18:D18"/>
    <mergeCell ref="C15:D15"/>
    <mergeCell ref="C12:D12"/>
    <mergeCell ref="A1:D1"/>
    <mergeCell ref="A2:D2"/>
    <mergeCell ref="C3:D3"/>
    <mergeCell ref="C4:D4"/>
    <mergeCell ref="C5:D5"/>
    <mergeCell ref="C6:D6"/>
    <mergeCell ref="C7:D7"/>
    <mergeCell ref="A8:D8"/>
    <mergeCell ref="C9:D9"/>
    <mergeCell ref="C10:D10"/>
    <mergeCell ref="C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115" zoomScaleNormal="100" workbookViewId="0">
      <selection activeCell="A35" sqref="A35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65" t="s">
        <v>75</v>
      </c>
      <c r="B1" s="166"/>
      <c r="C1" s="166"/>
      <c r="D1" s="166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20" t="s">
        <v>4</v>
      </c>
      <c r="B3" s="4">
        <v>0.6</v>
      </c>
      <c r="C3" s="170" t="s">
        <v>10</v>
      </c>
      <c r="D3" s="171"/>
    </row>
    <row r="4" spans="1:8" ht="12" thickBot="1" x14ac:dyDescent="0.25">
      <c r="A4" s="121" t="s">
        <v>1</v>
      </c>
      <c r="B4" s="21">
        <v>1.5</v>
      </c>
      <c r="C4" s="172" t="s">
        <v>10</v>
      </c>
      <c r="D4" s="173"/>
      <c r="E4" s="14"/>
    </row>
    <row r="5" spans="1:8" x14ac:dyDescent="0.2">
      <c r="A5" s="125" t="s">
        <v>76</v>
      </c>
      <c r="B5" s="113">
        <v>1</v>
      </c>
      <c r="C5" s="190" t="s">
        <v>10</v>
      </c>
      <c r="D5" s="154"/>
      <c r="E5" s="14"/>
    </row>
    <row r="6" spans="1:8" x14ac:dyDescent="0.2">
      <c r="A6" s="126" t="s">
        <v>77</v>
      </c>
      <c r="B6" s="28">
        <v>0</v>
      </c>
      <c r="C6" s="197" t="s">
        <v>10</v>
      </c>
      <c r="D6" s="178"/>
      <c r="E6" s="14"/>
      <c r="F6" s="14"/>
      <c r="G6" s="14"/>
      <c r="H6" s="14"/>
    </row>
    <row r="7" spans="1:8" ht="12" thickBot="1" x14ac:dyDescent="0.25">
      <c r="A7" s="127" t="s">
        <v>148</v>
      </c>
      <c r="B7" s="30">
        <v>0</v>
      </c>
      <c r="C7" s="201" t="s">
        <v>10</v>
      </c>
      <c r="D7" s="202"/>
      <c r="E7" s="14"/>
      <c r="F7" s="14"/>
      <c r="G7" s="14"/>
      <c r="H7" s="14"/>
    </row>
    <row r="8" spans="1:8" ht="12" thickBot="1" x14ac:dyDescent="0.25">
      <c r="A8" s="199" t="s">
        <v>14</v>
      </c>
      <c r="B8" s="179"/>
      <c r="C8" s="179"/>
      <c r="D8" s="200"/>
      <c r="E8" s="14"/>
      <c r="F8" s="14"/>
      <c r="G8" s="14"/>
      <c r="H8" s="14"/>
    </row>
    <row r="9" spans="1:8" x14ac:dyDescent="0.2">
      <c r="A9" s="125" t="s">
        <v>138</v>
      </c>
      <c r="B9" s="29">
        <v>0</v>
      </c>
      <c r="C9" s="180" t="s">
        <v>11</v>
      </c>
      <c r="D9" s="154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83" t="s">
        <v>11</v>
      </c>
      <c r="D10" s="184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81" t="s">
        <v>11</v>
      </c>
      <c r="D11" s="182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83" t="s">
        <v>11</v>
      </c>
      <c r="D12" s="184"/>
      <c r="E12" s="14"/>
      <c r="F12" s="14"/>
      <c r="G12" s="14"/>
      <c r="H12" s="14"/>
    </row>
    <row r="13" spans="1:8" x14ac:dyDescent="0.2">
      <c r="A13" s="126" t="s">
        <v>15</v>
      </c>
      <c r="B13" s="24">
        <v>1</v>
      </c>
      <c r="C13" s="198" t="s">
        <v>11</v>
      </c>
      <c r="D13" s="182"/>
      <c r="F13" s="14"/>
      <c r="G13" s="14"/>
      <c r="H13" s="14"/>
    </row>
    <row r="14" spans="1:8" x14ac:dyDescent="0.2">
      <c r="A14" s="126" t="s">
        <v>278</v>
      </c>
      <c r="B14" s="28">
        <v>0</v>
      </c>
      <c r="C14" s="183" t="s">
        <v>11</v>
      </c>
      <c r="D14" s="184"/>
      <c r="F14" s="14"/>
      <c r="G14" s="14"/>
      <c r="H14" s="14"/>
    </row>
    <row r="15" spans="1:8" ht="12" thickBot="1" x14ac:dyDescent="0.25">
      <c r="A15" s="191"/>
      <c r="B15" s="192"/>
      <c r="C15" s="192"/>
      <c r="D15" s="193"/>
      <c r="F15" s="14"/>
      <c r="G15" s="14"/>
      <c r="H15" s="14"/>
    </row>
    <row r="16" spans="1:8" x14ac:dyDescent="0.2">
      <c r="A16" s="32" t="s">
        <v>13</v>
      </c>
      <c r="B16" s="33">
        <f>CEILING((B3-0.1)/0.4,1)+1</f>
        <v>3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SUM(B5:B7)</f>
        <v>1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F18" s="14"/>
      <c r="G18" s="14"/>
      <c r="H18" s="14"/>
    </row>
    <row r="19" spans="1:8" ht="12.75" x14ac:dyDescent="0.2">
      <c r="A19" s="109" t="s">
        <v>5</v>
      </c>
      <c r="B19" s="110" t="s">
        <v>0</v>
      </c>
      <c r="C19" s="9" t="s">
        <v>3</v>
      </c>
      <c r="D19" s="111" t="s">
        <v>6</v>
      </c>
      <c r="F19" s="14"/>
      <c r="G19" s="14"/>
      <c r="H19" s="14"/>
    </row>
    <row r="20" spans="1:8" x14ac:dyDescent="0.2">
      <c r="A20" s="26" t="s">
        <v>16</v>
      </c>
      <c r="B20" s="19">
        <f>(B3-0.06)*2*B17</f>
        <v>1.08</v>
      </c>
      <c r="C20" s="7"/>
      <c r="D20" s="1">
        <f t="shared" ref="D20:D35" si="0">B20*C20</f>
        <v>0</v>
      </c>
      <c r="F20" s="14"/>
      <c r="G20" s="14"/>
      <c r="H20" s="14"/>
    </row>
    <row r="21" spans="1:8" x14ac:dyDescent="0.2">
      <c r="A21" s="26" t="s">
        <v>17</v>
      </c>
      <c r="B21" s="19">
        <f>(B3-0.007)*2*B17</f>
        <v>1.1859999999999999</v>
      </c>
      <c r="C21" s="7"/>
      <c r="D21" s="1">
        <f t="shared" si="0"/>
        <v>0</v>
      </c>
      <c r="F21" s="14"/>
      <c r="G21" s="14"/>
      <c r="H21" s="14"/>
    </row>
    <row r="22" spans="1:8" x14ac:dyDescent="0.2">
      <c r="A22" s="26" t="s">
        <v>88</v>
      </c>
      <c r="B22" s="19">
        <f>(B3-0.007)*(B5+B6*2)</f>
        <v>0.59299999999999997</v>
      </c>
      <c r="C22" s="7"/>
      <c r="D22" s="112">
        <f t="shared" si="0"/>
        <v>0</v>
      </c>
      <c r="F22" s="14"/>
      <c r="G22" s="14"/>
      <c r="H22" s="14"/>
    </row>
    <row r="23" spans="1:8" x14ac:dyDescent="0.2">
      <c r="A23" s="26" t="s">
        <v>87</v>
      </c>
      <c r="B23" s="19">
        <f>(B3-0.003)*B17*2</f>
        <v>1.194</v>
      </c>
      <c r="C23" s="7"/>
      <c r="D23" s="112">
        <f t="shared" si="0"/>
        <v>0</v>
      </c>
    </row>
    <row r="24" spans="1:8" x14ac:dyDescent="0.2">
      <c r="A24" s="26" t="s">
        <v>62</v>
      </c>
      <c r="B24" s="19">
        <f>2*B6</f>
        <v>0</v>
      </c>
      <c r="C24" s="7"/>
      <c r="D24" s="112">
        <f t="shared" si="0"/>
        <v>0</v>
      </c>
    </row>
    <row r="25" spans="1:8" x14ac:dyDescent="0.2">
      <c r="A25" s="26" t="s">
        <v>130</v>
      </c>
      <c r="B25" s="19">
        <f>2*B5</f>
        <v>2</v>
      </c>
      <c r="C25" s="7"/>
      <c r="D25" s="112">
        <f t="shared" ref="D25" si="1">B25*C25</f>
        <v>0</v>
      </c>
    </row>
    <row r="26" spans="1:8" x14ac:dyDescent="0.2">
      <c r="A26" s="26" t="s">
        <v>20</v>
      </c>
      <c r="B26" s="19">
        <f>2*B5+4*B7</f>
        <v>2</v>
      </c>
      <c r="C26" s="7"/>
      <c r="D26" s="112">
        <f t="shared" si="0"/>
        <v>0</v>
      </c>
    </row>
    <row r="27" spans="1:8" x14ac:dyDescent="0.2">
      <c r="A27" s="26" t="s">
        <v>68</v>
      </c>
      <c r="B27" s="19">
        <f>2*B5+4*B6</f>
        <v>2</v>
      </c>
      <c r="C27" s="7"/>
      <c r="D27" s="112">
        <f t="shared" si="0"/>
        <v>0</v>
      </c>
    </row>
    <row r="28" spans="1:8" x14ac:dyDescent="0.2">
      <c r="A28" s="26" t="s">
        <v>21</v>
      </c>
      <c r="B28" s="19">
        <f>B16*2*B17</f>
        <v>6</v>
      </c>
      <c r="C28" s="7"/>
      <c r="D28" s="112">
        <f t="shared" si="0"/>
        <v>0</v>
      </c>
    </row>
    <row r="29" spans="1:8" x14ac:dyDescent="0.2">
      <c r="A29" s="26" t="s">
        <v>22</v>
      </c>
      <c r="B29" s="19">
        <f>(IF(B16&lt;=4,4,6))*B17</f>
        <v>4</v>
      </c>
      <c r="C29" s="7"/>
      <c r="D29" s="112">
        <f t="shared" si="0"/>
        <v>0</v>
      </c>
    </row>
    <row r="30" spans="1:8" x14ac:dyDescent="0.2">
      <c r="A30" s="20" t="s">
        <v>52</v>
      </c>
      <c r="B30" s="19">
        <f>(IF(B16&lt;=4,(B178*B3+B4+0.05-0.1+0.2)*2+(B3+B4+0.2)*2,IF(B16=5,(2*B3+B4+0.05-0.1+0.2)*2+(B3+B4+0.2)*4,(2*B3+B4+0.05-0.1+0.2)*2+(B3+B4+0.2)*2+(((B3-0.1)*4/5+0.1)+B4+0.2)*2)))*B17</f>
        <v>7.9</v>
      </c>
      <c r="C30" s="7"/>
      <c r="D30" s="112">
        <f t="shared" si="0"/>
        <v>0</v>
      </c>
      <c r="E30" s="15"/>
    </row>
    <row r="31" spans="1:8" x14ac:dyDescent="0.2">
      <c r="A31" s="20" t="s">
        <v>23</v>
      </c>
      <c r="B31" s="19">
        <f>(IF(B3&lt;=0.8,2,4))*B17</f>
        <v>2</v>
      </c>
      <c r="C31" s="7"/>
      <c r="D31" s="112">
        <f t="shared" si="0"/>
        <v>0</v>
      </c>
      <c r="E31" s="15"/>
    </row>
    <row r="32" spans="1:8" x14ac:dyDescent="0.2">
      <c r="A32" s="26" t="s">
        <v>24</v>
      </c>
      <c r="B32" s="19">
        <f>B31</f>
        <v>2</v>
      </c>
      <c r="C32" s="7"/>
      <c r="D32" s="112">
        <f t="shared" si="0"/>
        <v>0</v>
      </c>
    </row>
    <row r="33" spans="1:5" x14ac:dyDescent="0.2">
      <c r="A33" s="26" t="s">
        <v>25</v>
      </c>
      <c r="B33" s="19">
        <f>B32</f>
        <v>2</v>
      </c>
      <c r="C33" s="7"/>
      <c r="D33" s="112">
        <f t="shared" si="0"/>
        <v>0</v>
      </c>
    </row>
    <row r="34" spans="1:5" x14ac:dyDescent="0.2">
      <c r="A34" s="26" t="s">
        <v>26</v>
      </c>
      <c r="B34" s="19">
        <f>4*B17</f>
        <v>4</v>
      </c>
      <c r="C34" s="7"/>
      <c r="D34" s="112">
        <f t="shared" si="0"/>
        <v>0</v>
      </c>
    </row>
    <row r="35" spans="1:5" x14ac:dyDescent="0.2">
      <c r="A35" s="26" t="s">
        <v>278</v>
      </c>
      <c r="B35" s="19">
        <f>IF(B14=1,B4*B17*2,0)</f>
        <v>0</v>
      </c>
      <c r="C35" s="7"/>
      <c r="D35" s="112">
        <f t="shared" si="0"/>
        <v>0</v>
      </c>
    </row>
    <row r="36" spans="1:5" ht="12" thickBot="1" x14ac:dyDescent="0.25">
      <c r="A36" s="194"/>
      <c r="B36" s="195"/>
      <c r="C36" s="195"/>
      <c r="D36" s="196"/>
    </row>
    <row r="37" spans="1:5" ht="12.75" x14ac:dyDescent="0.2">
      <c r="A37" s="174" t="s">
        <v>14</v>
      </c>
      <c r="B37" s="175"/>
      <c r="C37" s="175"/>
      <c r="D37" s="176"/>
    </row>
    <row r="38" spans="1:5" x14ac:dyDescent="0.2">
      <c r="A38" s="26" t="s">
        <v>34</v>
      </c>
      <c r="B38" s="19">
        <f>(IF(B12=1,0,B5*2+B7*4))</f>
        <v>2</v>
      </c>
      <c r="C38" s="7"/>
      <c r="D38" s="12">
        <f>B38*C38</f>
        <v>0</v>
      </c>
      <c r="E38" s="15"/>
    </row>
    <row r="39" spans="1:5" x14ac:dyDescent="0.2">
      <c r="A39" s="26" t="s">
        <v>201</v>
      </c>
      <c r="B39" s="19">
        <f>IF(B9=1,2*B5+4*B7,IF(B10=1,2*B5+4*B7,IF(B11=1,2*B5+4*B7,0)))</f>
        <v>0</v>
      </c>
      <c r="C39" s="7"/>
      <c r="D39" s="62">
        <f>B39*C39</f>
        <v>0</v>
      </c>
      <c r="E39" s="15"/>
    </row>
    <row r="40" spans="1:5" x14ac:dyDescent="0.2">
      <c r="A40" s="26" t="s">
        <v>36</v>
      </c>
      <c r="B40" s="19">
        <f>IF(B10=1,B16*B6*2+B16*B5,0)</f>
        <v>0</v>
      </c>
      <c r="C40" s="7"/>
      <c r="D40" s="12">
        <f>B55*C40</f>
        <v>0</v>
      </c>
    </row>
    <row r="41" spans="1:5" x14ac:dyDescent="0.2">
      <c r="A41" s="26" t="s">
        <v>35</v>
      </c>
      <c r="B41" s="16">
        <f>IF(B10=1,B5*B16+B6*2*B16+B5*2+B7*4,0)</f>
        <v>0</v>
      </c>
      <c r="C41" s="7"/>
      <c r="D41" s="60">
        <f t="shared" ref="D41" si="2">B41*C41</f>
        <v>0</v>
      </c>
      <c r="E41" s="15"/>
    </row>
    <row r="42" spans="1:5" x14ac:dyDescent="0.2">
      <c r="A42" s="26" t="s">
        <v>37</v>
      </c>
      <c r="B42" s="19">
        <f>IF(B11=1,2*B5+4*B7,0)</f>
        <v>0</v>
      </c>
      <c r="C42" s="7"/>
      <c r="D42" s="12">
        <f t="shared" ref="D42:D55" si="3">B42*C42</f>
        <v>0</v>
      </c>
    </row>
    <row r="43" spans="1:5" x14ac:dyDescent="0.2">
      <c r="A43" s="26" t="s">
        <v>38</v>
      </c>
      <c r="B43" s="19">
        <f>IF(B11=1,B16*B5+B16*B6*2,0)</f>
        <v>0</v>
      </c>
      <c r="C43" s="7"/>
      <c r="D43" s="12">
        <f t="shared" si="3"/>
        <v>0</v>
      </c>
    </row>
    <row r="44" spans="1:5" x14ac:dyDescent="0.2">
      <c r="A44" s="26" t="s">
        <v>39</v>
      </c>
      <c r="B44" s="19">
        <f>IF(B9=1,B16*B5+B16*B6*2,IF(B10=1,0,IF(B12=1,B16*B5+B16*B6*2,IF(B13=1,B16*B5+B16*B6*2,0))))</f>
        <v>3</v>
      </c>
      <c r="C44" s="7"/>
      <c r="D44" s="12">
        <f t="shared" si="3"/>
        <v>0</v>
      </c>
    </row>
    <row r="45" spans="1:5" x14ac:dyDescent="0.2">
      <c r="A45" s="26" t="s">
        <v>33</v>
      </c>
      <c r="B45" s="19">
        <f>(IF(B10=1,B16*B5+B16*B6*2,IF(B11=1,0,0)))</f>
        <v>0</v>
      </c>
      <c r="C45" s="7"/>
      <c r="D45" s="12">
        <f t="shared" si="3"/>
        <v>0</v>
      </c>
    </row>
    <row r="46" spans="1:5" x14ac:dyDescent="0.2">
      <c r="A46" s="26" t="s">
        <v>40</v>
      </c>
      <c r="B46" s="19">
        <f>IF(B12=1,B16*B5+B16*B6*2,0)</f>
        <v>0</v>
      </c>
      <c r="C46" s="7"/>
      <c r="D46" s="12">
        <f t="shared" si="3"/>
        <v>0</v>
      </c>
    </row>
    <row r="47" spans="1:5" x14ac:dyDescent="0.2">
      <c r="A47" s="26" t="s">
        <v>41</v>
      </c>
      <c r="B47" s="19">
        <f>IF(B12=1,1*B5+B7*2,0)</f>
        <v>0</v>
      </c>
      <c r="C47" s="7"/>
      <c r="D47" s="12">
        <f t="shared" si="3"/>
        <v>0</v>
      </c>
    </row>
    <row r="48" spans="1:5" x14ac:dyDescent="0.2">
      <c r="A48" s="26" t="s">
        <v>32</v>
      </c>
      <c r="B48" s="19">
        <f>B47*2+B46</f>
        <v>0</v>
      </c>
      <c r="C48" s="7"/>
      <c r="D48" s="12">
        <f t="shared" si="3"/>
        <v>0</v>
      </c>
    </row>
    <row r="49" spans="1:5" x14ac:dyDescent="0.2">
      <c r="A49" s="26" t="s">
        <v>42</v>
      </c>
      <c r="B49" s="6">
        <f>IF(B10=1,2*B5+4*B7,IF(B11=1,2*B5+4*B7,IF(B13=1,2*B5+4*B7,0)))</f>
        <v>2</v>
      </c>
      <c r="C49" s="7"/>
      <c r="D49" s="12">
        <f t="shared" si="3"/>
        <v>0</v>
      </c>
    </row>
    <row r="50" spans="1:5" x14ac:dyDescent="0.2">
      <c r="A50" s="26" t="s">
        <v>135</v>
      </c>
      <c r="B50" s="19">
        <f>B49</f>
        <v>2</v>
      </c>
      <c r="C50" s="7"/>
      <c r="D50" s="12">
        <f t="shared" si="3"/>
        <v>0</v>
      </c>
    </row>
    <row r="51" spans="1:5" x14ac:dyDescent="0.2">
      <c r="A51" s="26" t="s">
        <v>202</v>
      </c>
      <c r="B51" s="6">
        <f>IF(B10=1,B16*B6*2+B16*B5,IF(B12=1,B16*B6*2+B16*B5,0))</f>
        <v>0</v>
      </c>
      <c r="C51" s="3"/>
      <c r="D51" s="12">
        <f t="shared" si="3"/>
        <v>0</v>
      </c>
    </row>
    <row r="52" spans="1:5" x14ac:dyDescent="0.2">
      <c r="A52" s="26" t="s">
        <v>43</v>
      </c>
      <c r="B52" s="6">
        <f>B46*2*B6+2*B47*B7</f>
        <v>0</v>
      </c>
      <c r="C52" s="7"/>
      <c r="D52" s="12">
        <f t="shared" si="3"/>
        <v>0</v>
      </c>
    </row>
    <row r="53" spans="1:5" x14ac:dyDescent="0.2">
      <c r="A53" s="26" t="s">
        <v>44</v>
      </c>
      <c r="B53" s="6">
        <f>B47*2*B6+B47*2*B7</f>
        <v>0</v>
      </c>
      <c r="C53" s="7"/>
      <c r="D53" s="12">
        <f t="shared" si="3"/>
        <v>0</v>
      </c>
    </row>
    <row r="54" spans="1:5" x14ac:dyDescent="0.2">
      <c r="A54" s="26" t="s">
        <v>45</v>
      </c>
      <c r="B54" s="19">
        <f>IF(B9=1,B38,0)</f>
        <v>0</v>
      </c>
      <c r="C54" s="7"/>
      <c r="D54" s="12">
        <f t="shared" si="3"/>
        <v>0</v>
      </c>
    </row>
    <row r="55" spans="1:5" ht="12" thickBot="1" x14ac:dyDescent="0.25">
      <c r="A55" s="27" t="s">
        <v>46</v>
      </c>
      <c r="B55" s="44">
        <f>IF(B13=1,B16*B6*2+(B16+2)*B5+4*B7,0)</f>
        <v>5</v>
      </c>
      <c r="C55" s="11"/>
      <c r="D55" s="13">
        <f t="shared" si="3"/>
        <v>0</v>
      </c>
    </row>
    <row r="56" spans="1:5" ht="12" thickBot="1" x14ac:dyDescent="0.25">
      <c r="A56" s="162"/>
      <c r="B56" s="163"/>
      <c r="C56" s="163"/>
      <c r="D56" s="164"/>
    </row>
    <row r="57" spans="1:5" ht="12.75" x14ac:dyDescent="0.2">
      <c r="A57" s="159" t="s">
        <v>8</v>
      </c>
      <c r="B57" s="160"/>
      <c r="C57" s="160"/>
      <c r="D57" s="203"/>
    </row>
    <row r="58" spans="1:5" x14ac:dyDescent="0.2">
      <c r="A58" s="26" t="s">
        <v>47</v>
      </c>
      <c r="B58" s="19">
        <v>1</v>
      </c>
      <c r="C58" s="7"/>
      <c r="D58" s="12">
        <f>B58*C58</f>
        <v>0</v>
      </c>
    </row>
    <row r="59" spans="1:5" ht="12.75" customHeight="1" x14ac:dyDescent="0.2">
      <c r="A59" s="26" t="s">
        <v>48</v>
      </c>
      <c r="B59" s="19">
        <v>1</v>
      </c>
      <c r="C59" s="7"/>
      <c r="D59" s="12">
        <f>B59*C59</f>
        <v>0</v>
      </c>
    </row>
    <row r="60" spans="1:5" ht="12" thickBot="1" x14ac:dyDescent="0.25">
      <c r="A60" s="26" t="s">
        <v>49</v>
      </c>
      <c r="B60" s="19">
        <v>1</v>
      </c>
      <c r="C60" s="7"/>
      <c r="D60" s="12">
        <f>B60*C60</f>
        <v>0</v>
      </c>
    </row>
    <row r="61" spans="1:5" ht="11.25" customHeight="1" x14ac:dyDescent="0.2">
      <c r="A61" s="26" t="s">
        <v>50</v>
      </c>
      <c r="B61" s="19">
        <v>1</v>
      </c>
      <c r="C61" s="7"/>
      <c r="D61" s="12">
        <f>B61*C61</f>
        <v>0</v>
      </c>
      <c r="E61" s="157" t="s">
        <v>78</v>
      </c>
    </row>
    <row r="62" spans="1:5" ht="12" thickBot="1" x14ac:dyDescent="0.25">
      <c r="A62" s="27" t="s">
        <v>51</v>
      </c>
      <c r="B62" s="44">
        <v>1</v>
      </c>
      <c r="C62" s="11"/>
      <c r="D62" s="13">
        <f>B62*C62</f>
        <v>0</v>
      </c>
      <c r="E62" s="158"/>
    </row>
    <row r="63" spans="1:5" x14ac:dyDescent="0.2">
      <c r="C63" s="2" t="s">
        <v>7</v>
      </c>
      <c r="D63" s="2">
        <f>SUM(D20:D62)</f>
        <v>0</v>
      </c>
    </row>
  </sheetData>
  <mergeCells count="22">
    <mergeCell ref="C16:D16"/>
    <mergeCell ref="C10:D10"/>
    <mergeCell ref="A1:D1"/>
    <mergeCell ref="A2:D2"/>
    <mergeCell ref="C3:D3"/>
    <mergeCell ref="C4:D4"/>
    <mergeCell ref="C14:D14"/>
    <mergeCell ref="E61:E62"/>
    <mergeCell ref="C5:D5"/>
    <mergeCell ref="C17:D17"/>
    <mergeCell ref="A15:D15"/>
    <mergeCell ref="A36:D36"/>
    <mergeCell ref="A37:D37"/>
    <mergeCell ref="C6:D6"/>
    <mergeCell ref="C12:D12"/>
    <mergeCell ref="C13:D13"/>
    <mergeCell ref="A8:D8"/>
    <mergeCell ref="C9:D9"/>
    <mergeCell ref="C11:D11"/>
    <mergeCell ref="C7:D7"/>
    <mergeCell ref="A57:D57"/>
    <mergeCell ref="A56:D5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242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82">
        <v>2</v>
      </c>
      <c r="C3" s="220" t="s">
        <v>10</v>
      </c>
      <c r="D3" s="171"/>
    </row>
    <row r="4" spans="1:8" x14ac:dyDescent="0.2">
      <c r="A4" s="137" t="s">
        <v>54</v>
      </c>
      <c r="B4" s="83">
        <v>1</v>
      </c>
      <c r="C4" s="221" t="s">
        <v>10</v>
      </c>
      <c r="D4" s="182"/>
    </row>
    <row r="5" spans="1:8" ht="12" thickBot="1" x14ac:dyDescent="0.25">
      <c r="A5" s="138" t="s">
        <v>53</v>
      </c>
      <c r="B5" s="84">
        <v>0.5</v>
      </c>
      <c r="C5" s="222" t="s">
        <v>10</v>
      </c>
      <c r="D5" s="173"/>
    </row>
    <row r="6" spans="1:8" x14ac:dyDescent="0.2">
      <c r="A6" s="125" t="s">
        <v>243</v>
      </c>
      <c r="B6" s="29">
        <v>2</v>
      </c>
      <c r="C6" s="217" t="s">
        <v>10</v>
      </c>
      <c r="D6" s="218"/>
      <c r="H6" s="14"/>
    </row>
    <row r="7" spans="1:8" x14ac:dyDescent="0.2">
      <c r="A7" s="126" t="s">
        <v>244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79" t="s">
        <v>14</v>
      </c>
      <c r="B8" s="179"/>
      <c r="C8" s="179"/>
      <c r="D8" s="179"/>
      <c r="H8" s="14"/>
    </row>
    <row r="9" spans="1:8" x14ac:dyDescent="0.2">
      <c r="A9" s="125" t="s">
        <v>218</v>
      </c>
      <c r="B9" s="29">
        <v>0</v>
      </c>
      <c r="C9" s="180" t="s">
        <v>11</v>
      </c>
      <c r="D9" s="154"/>
      <c r="H9" s="14"/>
    </row>
    <row r="10" spans="1:8" x14ac:dyDescent="0.2">
      <c r="A10" s="126" t="s">
        <v>219</v>
      </c>
      <c r="B10" s="28">
        <v>0</v>
      </c>
      <c r="C10" s="183" t="s">
        <v>11</v>
      </c>
      <c r="D10" s="184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81" t="s">
        <v>11</v>
      </c>
      <c r="D11" s="182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83" t="s">
        <v>11</v>
      </c>
      <c r="D12" s="184"/>
      <c r="F12" s="14"/>
      <c r="G12" s="14"/>
      <c r="H12" s="14"/>
    </row>
    <row r="13" spans="1:8" ht="12" thickBot="1" x14ac:dyDescent="0.25">
      <c r="A13" s="127" t="s">
        <v>222</v>
      </c>
      <c r="B13" s="30">
        <v>1</v>
      </c>
      <c r="C13" s="151" t="s">
        <v>11</v>
      </c>
      <c r="D13" s="152"/>
      <c r="F13" s="14"/>
      <c r="G13" s="14"/>
      <c r="H13" s="14"/>
    </row>
    <row r="14" spans="1:8" ht="12" thickBot="1" x14ac:dyDescent="0.25">
      <c r="A14" s="214"/>
      <c r="B14" s="215"/>
      <c r="C14" s="215"/>
      <c r="D14" s="216"/>
      <c r="F14" s="14"/>
      <c r="G14" s="14"/>
      <c r="H14" s="14"/>
    </row>
    <row r="15" spans="1:8" ht="12" thickBot="1" x14ac:dyDescent="0.25">
      <c r="A15" s="86" t="s">
        <v>255</v>
      </c>
      <c r="B15" s="33">
        <v>1</v>
      </c>
      <c r="C15" s="149" t="s">
        <v>256</v>
      </c>
      <c r="D15" s="150"/>
      <c r="F15" s="14"/>
      <c r="G15" s="14"/>
      <c r="H15" s="14"/>
    </row>
    <row r="16" spans="1:8" x14ac:dyDescent="0.2">
      <c r="A16" s="32" t="s">
        <v>13</v>
      </c>
      <c r="B16" s="33">
        <f>CEILING((B3-0.15)/0.55,1)+1</f>
        <v>5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A18" s="207"/>
      <c r="B18" s="207"/>
      <c r="C18" s="207"/>
      <c r="D18" s="207"/>
      <c r="F18" s="14"/>
      <c r="G18" s="14"/>
      <c r="H18" s="14"/>
    </row>
    <row r="19" spans="1:8" ht="12.75" x14ac:dyDescent="0.2">
      <c r="A19" s="78" t="s">
        <v>5</v>
      </c>
      <c r="B19" s="79" t="s">
        <v>0</v>
      </c>
      <c r="C19" s="9" t="s">
        <v>3</v>
      </c>
      <c r="D19" s="80" t="s">
        <v>6</v>
      </c>
      <c r="F19" s="14"/>
      <c r="G19" s="14"/>
      <c r="H19" s="14"/>
    </row>
    <row r="20" spans="1:8" x14ac:dyDescent="0.2">
      <c r="A20" s="26" t="s">
        <v>223</v>
      </c>
      <c r="B20" s="18">
        <f>(B3-0.003)*B17</f>
        <v>5.9910000000000005</v>
      </c>
      <c r="C20" s="3"/>
      <c r="D20" s="1">
        <f t="shared" ref="D20:D47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</f>
        <v>5.9910000000000005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245</v>
      </c>
      <c r="B22" s="18">
        <f>(B3-0.003)*B17</f>
        <v>5.9910000000000005</v>
      </c>
      <c r="C22" s="3"/>
      <c r="D22" s="1">
        <f t="shared" ref="D22" si="1">B22*C22</f>
        <v>0</v>
      </c>
      <c r="F22" s="14"/>
      <c r="G22" s="14"/>
      <c r="H22" s="14"/>
    </row>
    <row r="23" spans="1:8" x14ac:dyDescent="0.2">
      <c r="A23" s="26" t="s">
        <v>225</v>
      </c>
      <c r="B23" s="19">
        <f>(B3-0.003)*B17*4</f>
        <v>23.964000000000002</v>
      </c>
      <c r="C23" s="7"/>
      <c r="D23" s="81">
        <f t="shared" si="0"/>
        <v>0</v>
      </c>
      <c r="F23" s="14"/>
      <c r="G23" s="14"/>
      <c r="H23" s="14"/>
    </row>
    <row r="24" spans="1:8" x14ac:dyDescent="0.2">
      <c r="A24" s="26" t="s">
        <v>229</v>
      </c>
      <c r="B24" s="19">
        <f>(B3-0.002)*B17*4</f>
        <v>23.975999999999999</v>
      </c>
      <c r="C24" s="7"/>
      <c r="D24" s="81">
        <f t="shared" si="0"/>
        <v>0</v>
      </c>
    </row>
    <row r="25" spans="1:8" x14ac:dyDescent="0.2">
      <c r="A25" s="26" t="s">
        <v>197</v>
      </c>
      <c r="B25" s="19">
        <f>B17*4</f>
        <v>12</v>
      </c>
      <c r="C25" s="7"/>
      <c r="D25" s="81">
        <f t="shared" si="0"/>
        <v>0</v>
      </c>
    </row>
    <row r="26" spans="1:8" x14ac:dyDescent="0.2">
      <c r="A26" s="26" t="s">
        <v>238</v>
      </c>
      <c r="B26" s="19">
        <f>B27</f>
        <v>2</v>
      </c>
      <c r="C26" s="7"/>
      <c r="D26" s="90">
        <f t="shared" si="0"/>
        <v>0</v>
      </c>
    </row>
    <row r="27" spans="1:8" x14ac:dyDescent="0.2">
      <c r="A27" s="26" t="s">
        <v>235</v>
      </c>
      <c r="B27" s="19">
        <f>2*B7</f>
        <v>2</v>
      </c>
      <c r="C27" s="7"/>
      <c r="D27" s="90">
        <f t="shared" si="0"/>
        <v>0</v>
      </c>
    </row>
    <row r="28" spans="1:8" x14ac:dyDescent="0.2">
      <c r="A28" s="26" t="s">
        <v>227</v>
      </c>
      <c r="B28" s="19">
        <f>4*B17</f>
        <v>12</v>
      </c>
      <c r="C28" s="7"/>
      <c r="D28" s="81">
        <f t="shared" si="0"/>
        <v>0</v>
      </c>
    </row>
    <row r="29" spans="1:8" x14ac:dyDescent="0.2">
      <c r="A29" s="26" t="s">
        <v>230</v>
      </c>
      <c r="B29" s="19">
        <f>B16*4*B17</f>
        <v>60</v>
      </c>
      <c r="C29" s="7"/>
      <c r="D29" s="81">
        <f t="shared" si="0"/>
        <v>0</v>
      </c>
    </row>
    <row r="30" spans="1:8" x14ac:dyDescent="0.2">
      <c r="A30" s="26" t="s">
        <v>231</v>
      </c>
      <c r="B30" s="19">
        <f>IF(B16&lt;=4,1,2)*B17</f>
        <v>6</v>
      </c>
      <c r="C30" s="7"/>
      <c r="D30" s="81">
        <f t="shared" si="0"/>
        <v>0</v>
      </c>
    </row>
    <row r="31" spans="1:8" x14ac:dyDescent="0.2">
      <c r="A31" s="26" t="s">
        <v>232</v>
      </c>
      <c r="B31" s="19">
        <f>IF($B$15=1,$B$16*$B$17,0)</f>
        <v>15</v>
      </c>
      <c r="C31" s="7"/>
      <c r="D31" s="81">
        <f t="shared" si="0"/>
        <v>0</v>
      </c>
    </row>
    <row r="32" spans="1:8" x14ac:dyDescent="0.2">
      <c r="A32" s="26" t="s">
        <v>233</v>
      </c>
      <c r="B32" s="19">
        <f>B31</f>
        <v>15</v>
      </c>
      <c r="C32" s="7"/>
      <c r="D32" s="81">
        <f t="shared" si="0"/>
        <v>0</v>
      </c>
    </row>
    <row r="33" spans="1:5" x14ac:dyDescent="0.2">
      <c r="A33" s="26" t="s">
        <v>21</v>
      </c>
      <c r="B33" s="19">
        <f>B16*4*B17+8*B7</f>
        <v>68</v>
      </c>
      <c r="C33" s="7"/>
      <c r="D33" s="81">
        <f t="shared" si="0"/>
        <v>0</v>
      </c>
    </row>
    <row r="34" spans="1:5" x14ac:dyDescent="0.2">
      <c r="A34" s="26" t="s">
        <v>112</v>
      </c>
      <c r="B34" s="19">
        <f>1*B7</f>
        <v>1</v>
      </c>
      <c r="C34" s="7"/>
      <c r="D34" s="81">
        <f t="shared" si="0"/>
        <v>0</v>
      </c>
    </row>
    <row r="35" spans="1:5" x14ac:dyDescent="0.2">
      <c r="A35" s="26" t="s">
        <v>241</v>
      </c>
      <c r="B35" s="19">
        <f>B17</f>
        <v>3</v>
      </c>
      <c r="C35" s="7"/>
      <c r="D35" s="81">
        <f t="shared" si="0"/>
        <v>0</v>
      </c>
    </row>
    <row r="36" spans="1:5" x14ac:dyDescent="0.2">
      <c r="A36" s="26" t="s">
        <v>226</v>
      </c>
      <c r="B36" s="19">
        <f>B17</f>
        <v>3</v>
      </c>
      <c r="C36" s="7"/>
      <c r="D36" s="81">
        <f t="shared" si="0"/>
        <v>0</v>
      </c>
    </row>
    <row r="37" spans="1:5" x14ac:dyDescent="0.2">
      <c r="A37" s="26" t="s">
        <v>64</v>
      </c>
      <c r="B37" s="19">
        <f>(B4*B16+B16*B3+0.2)*B17*2+($B$3+2*$B$4+0.3)*$B$7</f>
        <v>95.499999999999986</v>
      </c>
      <c r="C37" s="7"/>
      <c r="D37" s="81">
        <f t="shared" si="0"/>
        <v>0</v>
      </c>
      <c r="E37" s="15"/>
    </row>
    <row r="38" spans="1:5" x14ac:dyDescent="0.2">
      <c r="A38" s="26" t="s">
        <v>234</v>
      </c>
      <c r="B38" s="19">
        <f>IF(B15=1,(B4+0.1)*B16*B17,0)</f>
        <v>16.5</v>
      </c>
      <c r="C38" s="7"/>
      <c r="D38" s="81">
        <f t="shared" si="0"/>
        <v>0</v>
      </c>
      <c r="E38" s="15"/>
    </row>
    <row r="39" spans="1:5" x14ac:dyDescent="0.2">
      <c r="A39" s="26" t="s">
        <v>213</v>
      </c>
      <c r="B39" s="19">
        <f>B5*B17</f>
        <v>1.5</v>
      </c>
      <c r="C39" s="7"/>
      <c r="D39" s="81">
        <f>B39*C39</f>
        <v>0</v>
      </c>
      <c r="E39" s="15"/>
    </row>
    <row r="40" spans="1:5" ht="12" thickBot="1" x14ac:dyDescent="0.25">
      <c r="A40" s="27" t="s">
        <v>260</v>
      </c>
      <c r="B40" s="44">
        <v>2</v>
      </c>
      <c r="C40" s="11"/>
      <c r="D40" s="91">
        <f t="shared" ref="D40" si="2">B40*C40</f>
        <v>0</v>
      </c>
      <c r="E40" s="15"/>
    </row>
    <row r="41" spans="1:5" ht="12" thickBot="1" x14ac:dyDescent="0.25">
      <c r="A41" s="162"/>
      <c r="B41" s="163"/>
      <c r="C41" s="163"/>
      <c r="D41" s="164"/>
    </row>
    <row r="42" spans="1:5" ht="12.75" x14ac:dyDescent="0.2">
      <c r="A42" s="174" t="s">
        <v>14</v>
      </c>
      <c r="B42" s="175"/>
      <c r="C42" s="175"/>
      <c r="D42" s="176"/>
    </row>
    <row r="43" spans="1:5" x14ac:dyDescent="0.2">
      <c r="A43" s="26" t="s">
        <v>236</v>
      </c>
      <c r="B43" s="16">
        <f>IF(B9=1,F58*B17,0)</f>
        <v>0</v>
      </c>
      <c r="C43" s="7"/>
      <c r="D43" s="81">
        <f t="shared" si="0"/>
        <v>0</v>
      </c>
      <c r="E43" s="15"/>
    </row>
    <row r="44" spans="1:5" x14ac:dyDescent="0.2">
      <c r="A44" s="26" t="s">
        <v>201</v>
      </c>
      <c r="B44" s="16">
        <f>B7*2</f>
        <v>2</v>
      </c>
      <c r="C44" s="7"/>
      <c r="D44" s="81">
        <f t="shared" si="0"/>
        <v>0</v>
      </c>
      <c r="E44" s="15"/>
    </row>
    <row r="45" spans="1:5" x14ac:dyDescent="0.2">
      <c r="A45" s="26" t="s">
        <v>219</v>
      </c>
      <c r="B45" s="16">
        <f>IF(B10=1,F58*B17+2*B7,0)</f>
        <v>0</v>
      </c>
      <c r="C45" s="7"/>
      <c r="D45" s="81">
        <f t="shared" si="0"/>
        <v>0</v>
      </c>
      <c r="E45" s="15"/>
    </row>
    <row r="46" spans="1:5" x14ac:dyDescent="0.2">
      <c r="A46" s="26" t="s">
        <v>220</v>
      </c>
      <c r="B46" s="16">
        <f>IF(B11=1,F58*B17+2*B7,0)</f>
        <v>0</v>
      </c>
      <c r="C46" s="7"/>
      <c r="D46" s="81">
        <v>0</v>
      </c>
    </row>
    <row r="47" spans="1:5" x14ac:dyDescent="0.2">
      <c r="A47" s="26" t="s">
        <v>221</v>
      </c>
      <c r="B47" s="16">
        <f>IF(B12=1,F58*B17+2*B7,0)</f>
        <v>0</v>
      </c>
      <c r="C47" s="7"/>
      <c r="D47" s="81">
        <f t="shared" si="0"/>
        <v>0</v>
      </c>
    </row>
    <row r="48" spans="1:5" x14ac:dyDescent="0.2">
      <c r="A48" s="26" t="s">
        <v>222</v>
      </c>
      <c r="B48" s="16">
        <f>IF(B13=1,F58*B17+2*B7,0)</f>
        <v>17</v>
      </c>
      <c r="C48" s="7"/>
      <c r="D48" s="81">
        <f>B48*C48</f>
        <v>0</v>
      </c>
    </row>
    <row r="49" spans="1:8" x14ac:dyDescent="0.2">
      <c r="A49" s="26"/>
      <c r="B49" s="16"/>
      <c r="C49" s="7"/>
      <c r="D49" s="81"/>
    </row>
    <row r="50" spans="1:8" x14ac:dyDescent="0.2">
      <c r="A50" s="26"/>
      <c r="B50" s="16"/>
      <c r="C50" s="7" t="s">
        <v>7</v>
      </c>
      <c r="D50" s="81">
        <f>SUM(D20:D49)</f>
        <v>0</v>
      </c>
    </row>
    <row r="54" spans="1:8" x14ac:dyDescent="0.2">
      <c r="G54">
        <f>CEILING((B3-0.15)/0.6,1)+1</f>
        <v>5</v>
      </c>
    </row>
    <row r="56" spans="1:8" ht="12" thickBot="1" x14ac:dyDescent="0.25">
      <c r="F56" s="213" t="s">
        <v>9</v>
      </c>
      <c r="G56" s="213"/>
      <c r="H56" s="213"/>
    </row>
    <row r="57" spans="1:8" x14ac:dyDescent="0.2">
      <c r="F57" s="210" t="s">
        <v>70</v>
      </c>
      <c r="G57" s="211"/>
      <c r="H57" s="212"/>
    </row>
    <row r="58" spans="1:8" x14ac:dyDescent="0.2">
      <c r="F58" s="39">
        <f>G54</f>
        <v>5</v>
      </c>
      <c r="G58" s="6">
        <f>F58*B6</f>
        <v>10</v>
      </c>
      <c r="H58" s="1">
        <v>0</v>
      </c>
    </row>
    <row r="59" spans="1:8" x14ac:dyDescent="0.2">
      <c r="F59" s="39">
        <f>G54*2</f>
        <v>10</v>
      </c>
      <c r="G59" s="6">
        <f>F59*B7</f>
        <v>10</v>
      </c>
      <c r="H59" s="1">
        <v>0</v>
      </c>
    </row>
    <row r="60" spans="1:8" ht="12" thickBot="1" x14ac:dyDescent="0.25">
      <c r="F60" s="40">
        <f>G54</f>
        <v>5</v>
      </c>
      <c r="G60" s="36" t="e">
        <f>F60*#REF!</f>
        <v>#REF!</v>
      </c>
      <c r="H60" s="41" t="e">
        <f>2*#REF!</f>
        <v>#REF!</v>
      </c>
    </row>
    <row r="61" spans="1:8" ht="12" thickBot="1" x14ac:dyDescent="0.25">
      <c r="F61" s="37">
        <f>SUM(F58:F60)</f>
        <v>20</v>
      </c>
      <c r="G61" s="38" t="e">
        <f>SUM(G58:G60)</f>
        <v>#REF!</v>
      </c>
      <c r="H61" s="38" t="e">
        <f>SUM(H58:H60)</f>
        <v>#REF!</v>
      </c>
    </row>
    <row r="62" spans="1:8" x14ac:dyDescent="0.2">
      <c r="F62" s="42" t="s">
        <v>66</v>
      </c>
      <c r="G62" s="42" t="s">
        <v>74</v>
      </c>
      <c r="H62" s="42" t="s">
        <v>69</v>
      </c>
    </row>
  </sheetData>
  <mergeCells count="22">
    <mergeCell ref="C12:D12"/>
    <mergeCell ref="A1:D1"/>
    <mergeCell ref="A2:D2"/>
    <mergeCell ref="C3:D3"/>
    <mergeCell ref="C4:D4"/>
    <mergeCell ref="C5:D5"/>
    <mergeCell ref="C6:D6"/>
    <mergeCell ref="C7:D7"/>
    <mergeCell ref="A8:D8"/>
    <mergeCell ref="C9:D9"/>
    <mergeCell ref="C10:D10"/>
    <mergeCell ref="C11:D11"/>
    <mergeCell ref="A42:D42"/>
    <mergeCell ref="F56:H56"/>
    <mergeCell ref="F57:H57"/>
    <mergeCell ref="C15:D15"/>
    <mergeCell ref="C13:D13"/>
    <mergeCell ref="A14:D14"/>
    <mergeCell ref="C16:D16"/>
    <mergeCell ref="C17:D17"/>
    <mergeCell ref="A18:D18"/>
    <mergeCell ref="A41:D4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246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82">
        <v>2</v>
      </c>
      <c r="C3" s="220" t="s">
        <v>10</v>
      </c>
      <c r="D3" s="171"/>
    </row>
    <row r="4" spans="1:8" x14ac:dyDescent="0.2">
      <c r="A4" s="137" t="s">
        <v>54</v>
      </c>
      <c r="B4" s="83">
        <v>1</v>
      </c>
      <c r="C4" s="221" t="s">
        <v>10</v>
      </c>
      <c r="D4" s="182"/>
    </row>
    <row r="5" spans="1:8" ht="12" thickBot="1" x14ac:dyDescent="0.25">
      <c r="A5" s="138" t="s">
        <v>53</v>
      </c>
      <c r="B5" s="84">
        <v>0.5</v>
      </c>
      <c r="C5" s="222" t="s">
        <v>10</v>
      </c>
      <c r="D5" s="173"/>
    </row>
    <row r="6" spans="1:8" x14ac:dyDescent="0.2">
      <c r="A6" s="125" t="s">
        <v>247</v>
      </c>
      <c r="B6" s="29">
        <v>2</v>
      </c>
      <c r="C6" s="217" t="s">
        <v>10</v>
      </c>
      <c r="D6" s="218"/>
      <c r="H6" s="14"/>
    </row>
    <row r="7" spans="1:8" x14ac:dyDescent="0.2">
      <c r="A7" s="126" t="s">
        <v>248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79" t="s">
        <v>14</v>
      </c>
      <c r="B8" s="179"/>
      <c r="C8" s="179"/>
      <c r="D8" s="179"/>
      <c r="H8" s="14"/>
    </row>
    <row r="9" spans="1:8" x14ac:dyDescent="0.2">
      <c r="A9" s="125" t="s">
        <v>218</v>
      </c>
      <c r="B9" s="29">
        <v>0</v>
      </c>
      <c r="C9" s="180" t="s">
        <v>11</v>
      </c>
      <c r="D9" s="154"/>
      <c r="H9" s="14"/>
    </row>
    <row r="10" spans="1:8" x14ac:dyDescent="0.2">
      <c r="A10" s="126" t="s">
        <v>219</v>
      </c>
      <c r="B10" s="28">
        <v>0</v>
      </c>
      <c r="C10" s="183" t="s">
        <v>11</v>
      </c>
      <c r="D10" s="184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81" t="s">
        <v>11</v>
      </c>
      <c r="D11" s="182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83" t="s">
        <v>11</v>
      </c>
      <c r="D12" s="184"/>
      <c r="F12" s="14"/>
      <c r="G12" s="14"/>
      <c r="H12" s="14"/>
    </row>
    <row r="13" spans="1:8" ht="12" thickBot="1" x14ac:dyDescent="0.25">
      <c r="A13" s="127" t="s">
        <v>222</v>
      </c>
      <c r="B13" s="30">
        <v>1</v>
      </c>
      <c r="C13" s="151" t="s">
        <v>11</v>
      </c>
      <c r="D13" s="152"/>
      <c r="F13" s="14"/>
      <c r="G13" s="14"/>
      <c r="H13" s="14"/>
    </row>
    <row r="14" spans="1:8" ht="12" thickBot="1" x14ac:dyDescent="0.25">
      <c r="A14" s="214"/>
      <c r="B14" s="215"/>
      <c r="C14" s="215"/>
      <c r="D14" s="216"/>
      <c r="F14" s="14"/>
      <c r="G14" s="14"/>
      <c r="H14" s="14"/>
    </row>
    <row r="15" spans="1:8" ht="12" thickBot="1" x14ac:dyDescent="0.25">
      <c r="A15" s="86" t="s">
        <v>255</v>
      </c>
      <c r="B15" s="33">
        <v>1</v>
      </c>
      <c r="C15" s="149" t="s">
        <v>256</v>
      </c>
      <c r="D15" s="150"/>
      <c r="F15" s="14"/>
      <c r="G15" s="14"/>
      <c r="H15" s="14"/>
    </row>
    <row r="16" spans="1:8" x14ac:dyDescent="0.2">
      <c r="A16" s="32" t="s">
        <v>13</v>
      </c>
      <c r="B16" s="33">
        <f>CEILING((B3-0.24)/0.55,1)+1</f>
        <v>5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A18" s="207"/>
      <c r="B18" s="207"/>
      <c r="C18" s="207"/>
      <c r="D18" s="207"/>
      <c r="F18" s="14"/>
      <c r="G18" s="14"/>
      <c r="H18" s="14"/>
    </row>
    <row r="19" spans="1:8" ht="12.75" x14ac:dyDescent="0.2">
      <c r="A19" s="78" t="s">
        <v>5</v>
      </c>
      <c r="B19" s="79" t="s">
        <v>0</v>
      </c>
      <c r="C19" s="9" t="s">
        <v>3</v>
      </c>
      <c r="D19" s="80" t="s">
        <v>6</v>
      </c>
      <c r="F19" s="14"/>
      <c r="G19" s="14"/>
      <c r="H19" s="14"/>
    </row>
    <row r="20" spans="1:8" x14ac:dyDescent="0.2">
      <c r="A20" s="26" t="s">
        <v>249</v>
      </c>
      <c r="B20" s="18">
        <f>(B3-0.048)*B17</f>
        <v>5.8559999999999999</v>
      </c>
      <c r="C20" s="3"/>
      <c r="D20" s="1">
        <f t="shared" ref="D20:D57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</f>
        <v>5.9910000000000005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(B3-0.003)*B17*2</f>
        <v>11.982000000000001</v>
      </c>
      <c r="C22" s="7"/>
      <c r="D22" s="81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11.988</v>
      </c>
      <c r="C23" s="7"/>
      <c r="D23" s="81">
        <f t="shared" si="0"/>
        <v>0</v>
      </c>
    </row>
    <row r="24" spans="1:8" x14ac:dyDescent="0.2">
      <c r="A24" s="26" t="s">
        <v>250</v>
      </c>
      <c r="B24" s="19">
        <f>(B3-0.103)*B17</f>
        <v>5.6909999999999998</v>
      </c>
      <c r="C24" s="7"/>
      <c r="D24" s="81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81"/>
    </row>
    <row r="26" spans="1:8" x14ac:dyDescent="0.2">
      <c r="A26" s="26" t="s">
        <v>235</v>
      </c>
      <c r="B26" s="19">
        <f>2*B7</f>
        <v>2</v>
      </c>
      <c r="C26" s="7"/>
      <c r="D26" s="81">
        <f t="shared" si="0"/>
        <v>0</v>
      </c>
    </row>
    <row r="27" spans="1:8" x14ac:dyDescent="0.2">
      <c r="A27" s="26" t="s">
        <v>252</v>
      </c>
      <c r="B27" s="19">
        <f>B17</f>
        <v>3</v>
      </c>
      <c r="C27" s="7"/>
      <c r="D27" s="81">
        <f t="shared" ref="D27" si="1">B27*C27</f>
        <v>0</v>
      </c>
    </row>
    <row r="28" spans="1:8" x14ac:dyDescent="0.2">
      <c r="A28" s="26" t="s">
        <v>227</v>
      </c>
      <c r="B28" s="19">
        <f>2*B17</f>
        <v>6</v>
      </c>
      <c r="C28" s="7"/>
      <c r="D28" s="81">
        <f t="shared" si="0"/>
        <v>0</v>
      </c>
    </row>
    <row r="29" spans="1:8" x14ac:dyDescent="0.2">
      <c r="A29" s="26" t="s">
        <v>230</v>
      </c>
      <c r="B29" s="19">
        <f>B16*B17</f>
        <v>15</v>
      </c>
      <c r="C29" s="7"/>
      <c r="D29" s="81">
        <f t="shared" si="0"/>
        <v>0</v>
      </c>
    </row>
    <row r="30" spans="1:8" x14ac:dyDescent="0.2">
      <c r="A30" s="26" t="s">
        <v>231</v>
      </c>
      <c r="B30" s="19">
        <f>B16*B17</f>
        <v>15</v>
      </c>
      <c r="C30" s="7"/>
      <c r="D30" s="81">
        <f t="shared" si="0"/>
        <v>0</v>
      </c>
    </row>
    <row r="31" spans="1:8" x14ac:dyDescent="0.2">
      <c r="A31" s="26" t="s">
        <v>232</v>
      </c>
      <c r="B31" s="19">
        <f>IF($B$15=1,$B$16*$B$17,0)</f>
        <v>15</v>
      </c>
      <c r="C31" s="7"/>
      <c r="D31" s="81">
        <f t="shared" si="0"/>
        <v>0</v>
      </c>
    </row>
    <row r="32" spans="1:8" x14ac:dyDescent="0.2">
      <c r="A32" s="26" t="s">
        <v>233</v>
      </c>
      <c r="B32" s="19">
        <f>B31</f>
        <v>15</v>
      </c>
      <c r="C32" s="7"/>
      <c r="D32" s="81">
        <f t="shared" si="0"/>
        <v>0</v>
      </c>
    </row>
    <row r="33" spans="1:5" x14ac:dyDescent="0.2">
      <c r="A33" s="26" t="s">
        <v>21</v>
      </c>
      <c r="B33" s="19">
        <f>B16*B17+4*B7</f>
        <v>19</v>
      </c>
      <c r="C33" s="7"/>
      <c r="D33" s="81">
        <f t="shared" si="0"/>
        <v>0</v>
      </c>
    </row>
    <row r="34" spans="1:5" x14ac:dyDescent="0.2">
      <c r="A34" s="26" t="s">
        <v>112</v>
      </c>
      <c r="B34" s="19">
        <f>1*B7</f>
        <v>1</v>
      </c>
      <c r="C34" s="7"/>
      <c r="D34" s="81">
        <f t="shared" si="0"/>
        <v>0</v>
      </c>
    </row>
    <row r="35" spans="1:5" x14ac:dyDescent="0.2">
      <c r="A35" s="26" t="s">
        <v>164</v>
      </c>
      <c r="B35" s="19">
        <f>(IF(B4&gt;2,B16,0))*B17</f>
        <v>0</v>
      </c>
      <c r="C35" s="7"/>
      <c r="D35" s="81">
        <f t="shared" si="0"/>
        <v>0</v>
      </c>
    </row>
    <row r="36" spans="1:5" x14ac:dyDescent="0.2">
      <c r="A36" s="26" t="s">
        <v>165</v>
      </c>
      <c r="B36" s="19">
        <f>(IF(B4&lt;=2,B17,0))*B16</f>
        <v>15</v>
      </c>
      <c r="C36" s="7"/>
      <c r="D36" s="81">
        <f t="shared" si="0"/>
        <v>0</v>
      </c>
    </row>
    <row r="37" spans="1:5" x14ac:dyDescent="0.2">
      <c r="A37" s="26" t="s">
        <v>251</v>
      </c>
      <c r="B37" s="19">
        <f>B17</f>
        <v>3</v>
      </c>
      <c r="C37" s="7"/>
      <c r="D37" s="81">
        <f t="shared" si="0"/>
        <v>0</v>
      </c>
    </row>
    <row r="38" spans="1:5" x14ac:dyDescent="0.2">
      <c r="A38" s="26" t="s">
        <v>162</v>
      </c>
      <c r="B38" s="19">
        <f>B17</f>
        <v>3</v>
      </c>
      <c r="C38" s="7"/>
      <c r="D38" s="81">
        <f t="shared" si="0"/>
        <v>0</v>
      </c>
    </row>
    <row r="39" spans="1:5" x14ac:dyDescent="0.2">
      <c r="A39" s="26" t="s">
        <v>253</v>
      </c>
      <c r="B39" s="19">
        <f>B17</f>
        <v>3</v>
      </c>
      <c r="C39" s="7"/>
      <c r="D39" s="81">
        <f t="shared" ref="D39" si="2">B39*C39</f>
        <v>0</v>
      </c>
    </row>
    <row r="40" spans="1:5" x14ac:dyDescent="0.2">
      <c r="A40" s="26" t="s">
        <v>254</v>
      </c>
      <c r="B40" s="19">
        <f>B17</f>
        <v>3</v>
      </c>
      <c r="C40" s="7"/>
      <c r="D40" s="81">
        <f t="shared" ref="D40" si="3">B40*C40</f>
        <v>0</v>
      </c>
    </row>
    <row r="41" spans="1:5" x14ac:dyDescent="0.2">
      <c r="A41" s="26" t="s">
        <v>166</v>
      </c>
      <c r="B41" s="19">
        <f>B17</f>
        <v>3</v>
      </c>
      <c r="C41" s="7"/>
      <c r="D41" s="81">
        <f t="shared" ref="D41" si="4">B41*C41</f>
        <v>0</v>
      </c>
    </row>
    <row r="42" spans="1:5" x14ac:dyDescent="0.2">
      <c r="A42" s="26" t="s">
        <v>64</v>
      </c>
      <c r="B42" s="19">
        <f>(B4+0.2)*B17*B16+($B$3+2*$B$4+0.3)*$B$7</f>
        <v>22.3</v>
      </c>
      <c r="C42" s="7"/>
      <c r="D42" s="81">
        <f t="shared" si="0"/>
        <v>0</v>
      </c>
      <c r="E42" s="15"/>
    </row>
    <row r="43" spans="1:5" ht="12" thickBot="1" x14ac:dyDescent="0.25">
      <c r="A43" s="26" t="s">
        <v>234</v>
      </c>
      <c r="B43" s="19">
        <f>IF(B15=1,(B4+0.1)*B16*B17,0)</f>
        <v>16.5</v>
      </c>
      <c r="C43" s="7"/>
      <c r="D43" s="81">
        <f t="shared" si="0"/>
        <v>0</v>
      </c>
      <c r="E43" s="15"/>
    </row>
    <row r="44" spans="1:5" x14ac:dyDescent="0.2">
      <c r="A44" s="26" t="s">
        <v>172</v>
      </c>
      <c r="B44" s="19">
        <v>0</v>
      </c>
      <c r="C44" s="7"/>
      <c r="D44" s="81">
        <f t="shared" ref="D44:D50" si="5">B44*C44</f>
        <v>0</v>
      </c>
      <c r="E44" s="254" t="s">
        <v>178</v>
      </c>
    </row>
    <row r="45" spans="1:5" x14ac:dyDescent="0.2">
      <c r="A45" s="26" t="s">
        <v>171</v>
      </c>
      <c r="B45" s="19">
        <v>0</v>
      </c>
      <c r="C45" s="7"/>
      <c r="D45" s="81">
        <f t="shared" si="5"/>
        <v>0</v>
      </c>
      <c r="E45" s="255"/>
    </row>
    <row r="46" spans="1:5" x14ac:dyDescent="0.2">
      <c r="A46" s="26" t="s">
        <v>173</v>
      </c>
      <c r="B46" s="19">
        <v>0</v>
      </c>
      <c r="C46" s="7"/>
      <c r="D46" s="81">
        <f t="shared" si="5"/>
        <v>0</v>
      </c>
      <c r="E46" s="255"/>
    </row>
    <row r="47" spans="1:5" x14ac:dyDescent="0.2">
      <c r="A47" s="26" t="s">
        <v>174</v>
      </c>
      <c r="B47" s="19">
        <v>0</v>
      </c>
      <c r="C47" s="7"/>
      <c r="D47" s="81">
        <f t="shared" si="5"/>
        <v>0</v>
      </c>
      <c r="E47" s="255"/>
    </row>
    <row r="48" spans="1:5" x14ac:dyDescent="0.2">
      <c r="A48" s="26" t="s">
        <v>175</v>
      </c>
      <c r="B48" s="19">
        <v>0</v>
      </c>
      <c r="C48" s="7"/>
      <c r="D48" s="81">
        <f t="shared" si="5"/>
        <v>0</v>
      </c>
      <c r="E48" s="255"/>
    </row>
    <row r="49" spans="1:7" x14ac:dyDescent="0.2">
      <c r="A49" s="26" t="s">
        <v>176</v>
      </c>
      <c r="B49" s="19">
        <v>0</v>
      </c>
      <c r="C49" s="7"/>
      <c r="D49" s="81">
        <f t="shared" si="5"/>
        <v>0</v>
      </c>
      <c r="E49" s="255"/>
    </row>
    <row r="50" spans="1:7" ht="12" thickBot="1" x14ac:dyDescent="0.25">
      <c r="A50" s="27" t="s">
        <v>177</v>
      </c>
      <c r="B50" s="44">
        <v>0</v>
      </c>
      <c r="C50" s="11"/>
      <c r="D50" s="85">
        <f t="shared" si="5"/>
        <v>0</v>
      </c>
      <c r="E50" s="256"/>
    </row>
    <row r="51" spans="1:7" ht="12" thickBot="1" x14ac:dyDescent="0.25">
      <c r="A51" s="162"/>
      <c r="B51" s="163"/>
      <c r="C51" s="163"/>
      <c r="D51" s="164"/>
    </row>
    <row r="52" spans="1:7" ht="12.75" x14ac:dyDescent="0.2">
      <c r="A52" s="174" t="s">
        <v>14</v>
      </c>
      <c r="B52" s="175"/>
      <c r="C52" s="175"/>
      <c r="D52" s="176"/>
    </row>
    <row r="53" spans="1:7" x14ac:dyDescent="0.2">
      <c r="A53" s="26" t="s">
        <v>236</v>
      </c>
      <c r="B53" s="16">
        <f>IF(B9=1,F68*B17,0)</f>
        <v>0</v>
      </c>
      <c r="C53" s="7"/>
      <c r="D53" s="81">
        <f t="shared" si="0"/>
        <v>0</v>
      </c>
      <c r="E53" s="15"/>
    </row>
    <row r="54" spans="1:7" x14ac:dyDescent="0.2">
      <c r="A54" s="26" t="s">
        <v>201</v>
      </c>
      <c r="B54" s="16">
        <f>B7*2</f>
        <v>2</v>
      </c>
      <c r="C54" s="7"/>
      <c r="D54" s="81">
        <f t="shared" si="0"/>
        <v>0</v>
      </c>
      <c r="E54" s="15"/>
    </row>
    <row r="55" spans="1:7" x14ac:dyDescent="0.2">
      <c r="A55" s="26" t="s">
        <v>219</v>
      </c>
      <c r="B55" s="16">
        <f>IF(B10=1,F68*B17+2*B7,0)</f>
        <v>0</v>
      </c>
      <c r="C55" s="7"/>
      <c r="D55" s="81">
        <f t="shared" si="0"/>
        <v>0</v>
      </c>
      <c r="E55" s="15"/>
    </row>
    <row r="56" spans="1:7" x14ac:dyDescent="0.2">
      <c r="A56" s="26" t="s">
        <v>220</v>
      </c>
      <c r="B56" s="16">
        <f>IF(B11=1,F68*B17+2*B7,0)</f>
        <v>0</v>
      </c>
      <c r="C56" s="7"/>
      <c r="D56" s="81">
        <v>0</v>
      </c>
    </row>
    <row r="57" spans="1:7" x14ac:dyDescent="0.2">
      <c r="A57" s="26" t="s">
        <v>221</v>
      </c>
      <c r="B57" s="16">
        <f>IF(B12=1,F68*B17+2*B7,0)</f>
        <v>0</v>
      </c>
      <c r="C57" s="7"/>
      <c r="D57" s="81">
        <f t="shared" si="0"/>
        <v>0</v>
      </c>
    </row>
    <row r="58" spans="1:7" x14ac:dyDescent="0.2">
      <c r="A58" s="26" t="s">
        <v>222</v>
      </c>
      <c r="B58" s="16">
        <f>IF(B13=1,F68*B17+2*B7,0)</f>
        <v>17</v>
      </c>
      <c r="C58" s="7"/>
      <c r="D58" s="81">
        <f>B58*C58</f>
        <v>0</v>
      </c>
    </row>
    <row r="59" spans="1:7" x14ac:dyDescent="0.2">
      <c r="A59" s="26"/>
      <c r="B59" s="16"/>
      <c r="C59" s="7"/>
      <c r="D59" s="81"/>
    </row>
    <row r="60" spans="1:7" x14ac:dyDescent="0.2">
      <c r="A60" s="26"/>
      <c r="B60" s="16"/>
      <c r="C60" s="7" t="s">
        <v>7</v>
      </c>
      <c r="D60" s="81">
        <f>SUM(D20:D59)</f>
        <v>0</v>
      </c>
    </row>
    <row r="64" spans="1:7" x14ac:dyDescent="0.2">
      <c r="G64">
        <f>CEILING((B3-0.15)/0.6,1)+1</f>
        <v>5</v>
      </c>
    </row>
    <row r="66" spans="6:8" ht="12" thickBot="1" x14ac:dyDescent="0.25">
      <c r="F66" s="213" t="s">
        <v>9</v>
      </c>
      <c r="G66" s="213"/>
      <c r="H66" s="213"/>
    </row>
    <row r="67" spans="6:8" x14ac:dyDescent="0.2">
      <c r="F67" s="210" t="s">
        <v>70</v>
      </c>
      <c r="G67" s="211"/>
      <c r="H67" s="212"/>
    </row>
    <row r="68" spans="6:8" x14ac:dyDescent="0.2">
      <c r="F68" s="39">
        <f>G64</f>
        <v>5</v>
      </c>
      <c r="G68" s="6">
        <f>F68*B6</f>
        <v>10</v>
      </c>
      <c r="H68" s="1">
        <v>0</v>
      </c>
    </row>
    <row r="69" spans="6:8" x14ac:dyDescent="0.2">
      <c r="F69" s="39">
        <f>G64*2</f>
        <v>10</v>
      </c>
      <c r="G69" s="6">
        <f>F69*B7</f>
        <v>10</v>
      </c>
      <c r="H69" s="1">
        <v>0</v>
      </c>
    </row>
    <row r="70" spans="6:8" ht="12" thickBot="1" x14ac:dyDescent="0.25">
      <c r="F70" s="40">
        <f>G64</f>
        <v>5</v>
      </c>
      <c r="G70" s="36" t="e">
        <f>F70*#REF!</f>
        <v>#REF!</v>
      </c>
      <c r="H70" s="41" t="e">
        <f>2*#REF!</f>
        <v>#REF!</v>
      </c>
    </row>
    <row r="71" spans="6:8" ht="12" thickBot="1" x14ac:dyDescent="0.25">
      <c r="F71" s="37">
        <f>SUM(F68:F70)</f>
        <v>20</v>
      </c>
      <c r="G71" s="38" t="e">
        <f>SUM(G68:G70)</f>
        <v>#REF!</v>
      </c>
      <c r="H71" s="38" t="e">
        <f>SUM(H68:H70)</f>
        <v>#REF!</v>
      </c>
    </row>
    <row r="72" spans="6:8" x14ac:dyDescent="0.2">
      <c r="F72" s="42" t="s">
        <v>66</v>
      </c>
      <c r="G72" s="42" t="s">
        <v>74</v>
      </c>
      <c r="H72" s="42" t="s">
        <v>69</v>
      </c>
    </row>
  </sheetData>
  <mergeCells count="23">
    <mergeCell ref="C12:D12"/>
    <mergeCell ref="A1:D1"/>
    <mergeCell ref="A2:D2"/>
    <mergeCell ref="C3:D3"/>
    <mergeCell ref="C4:D4"/>
    <mergeCell ref="C5:D5"/>
    <mergeCell ref="C6:D6"/>
    <mergeCell ref="C7:D7"/>
    <mergeCell ref="A8:D8"/>
    <mergeCell ref="C9:D9"/>
    <mergeCell ref="C10:D10"/>
    <mergeCell ref="C11:D11"/>
    <mergeCell ref="C13:D13"/>
    <mergeCell ref="A14:D14"/>
    <mergeCell ref="C16:D16"/>
    <mergeCell ref="C17:D17"/>
    <mergeCell ref="A18:D18"/>
    <mergeCell ref="A52:D52"/>
    <mergeCell ref="F66:H66"/>
    <mergeCell ref="F67:H67"/>
    <mergeCell ref="C15:D15"/>
    <mergeCell ref="E44:E50"/>
    <mergeCell ref="A51:D5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257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82">
        <v>1</v>
      </c>
      <c r="C3" s="220" t="s">
        <v>10</v>
      </c>
      <c r="D3" s="171"/>
    </row>
    <row r="4" spans="1:8" x14ac:dyDescent="0.2">
      <c r="A4" s="137" t="s">
        <v>54</v>
      </c>
      <c r="B4" s="83">
        <v>1.5</v>
      </c>
      <c r="C4" s="221" t="s">
        <v>10</v>
      </c>
      <c r="D4" s="182"/>
    </row>
    <row r="5" spans="1:8" ht="12" thickBot="1" x14ac:dyDescent="0.25">
      <c r="A5" s="138" t="s">
        <v>53</v>
      </c>
      <c r="B5" s="84">
        <v>0.5</v>
      </c>
      <c r="C5" s="222" t="s">
        <v>10</v>
      </c>
      <c r="D5" s="173"/>
    </row>
    <row r="6" spans="1:8" x14ac:dyDescent="0.2">
      <c r="A6" s="125" t="s">
        <v>258</v>
      </c>
      <c r="B6" s="29">
        <v>1</v>
      </c>
      <c r="C6" s="217" t="s">
        <v>10</v>
      </c>
      <c r="D6" s="218"/>
      <c r="H6" s="14"/>
    </row>
    <row r="7" spans="1:8" x14ac:dyDescent="0.2">
      <c r="A7" s="126" t="s">
        <v>259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79" t="s">
        <v>14</v>
      </c>
      <c r="B8" s="179"/>
      <c r="C8" s="179"/>
      <c r="D8" s="179"/>
      <c r="H8" s="14"/>
    </row>
    <row r="9" spans="1:8" x14ac:dyDescent="0.2">
      <c r="A9" s="125" t="s">
        <v>218</v>
      </c>
      <c r="B9" s="29">
        <v>0</v>
      </c>
      <c r="C9" s="180" t="s">
        <v>11</v>
      </c>
      <c r="D9" s="154"/>
      <c r="H9" s="14"/>
    </row>
    <row r="10" spans="1:8" x14ac:dyDescent="0.2">
      <c r="A10" s="126" t="s">
        <v>219</v>
      </c>
      <c r="B10" s="28">
        <v>0</v>
      </c>
      <c r="C10" s="183" t="s">
        <v>11</v>
      </c>
      <c r="D10" s="184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81" t="s">
        <v>11</v>
      </c>
      <c r="D11" s="182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83" t="s">
        <v>11</v>
      </c>
      <c r="D12" s="184"/>
      <c r="F12" s="14"/>
      <c r="G12" s="14"/>
      <c r="H12" s="14"/>
    </row>
    <row r="13" spans="1:8" ht="12" thickBot="1" x14ac:dyDescent="0.25">
      <c r="A13" s="127" t="s">
        <v>222</v>
      </c>
      <c r="B13" s="30">
        <v>1</v>
      </c>
      <c r="C13" s="151" t="s">
        <v>11</v>
      </c>
      <c r="D13" s="152"/>
      <c r="F13" s="14"/>
      <c r="G13" s="14"/>
      <c r="H13" s="14"/>
    </row>
    <row r="14" spans="1:8" ht="12" thickBot="1" x14ac:dyDescent="0.25">
      <c r="A14" s="214"/>
      <c r="B14" s="215"/>
      <c r="C14" s="215"/>
      <c r="D14" s="216"/>
      <c r="F14" s="14"/>
      <c r="G14" s="14"/>
      <c r="H14" s="14"/>
    </row>
    <row r="15" spans="1:8" ht="12" thickBot="1" x14ac:dyDescent="0.25">
      <c r="A15" s="86" t="s">
        <v>255</v>
      </c>
      <c r="B15" s="33">
        <v>1</v>
      </c>
      <c r="C15" s="149" t="s">
        <v>256</v>
      </c>
      <c r="D15" s="150"/>
      <c r="F15" s="14"/>
      <c r="G15" s="14"/>
      <c r="H15" s="14"/>
    </row>
    <row r="16" spans="1:8" x14ac:dyDescent="0.2">
      <c r="A16" s="32" t="s">
        <v>13</v>
      </c>
      <c r="B16" s="33">
        <f>CEILING((B3-0.24)/0.55,1)+1</f>
        <v>3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2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A18" s="207"/>
      <c r="B18" s="207"/>
      <c r="C18" s="207"/>
      <c r="D18" s="207"/>
      <c r="F18" s="14"/>
      <c r="G18" s="14"/>
      <c r="H18" s="14"/>
    </row>
    <row r="19" spans="1:8" ht="12.75" x14ac:dyDescent="0.2">
      <c r="A19" s="78" t="s">
        <v>5</v>
      </c>
      <c r="B19" s="79" t="s">
        <v>0</v>
      </c>
      <c r="C19" s="9" t="s">
        <v>3</v>
      </c>
      <c r="D19" s="80" t="s">
        <v>6</v>
      </c>
      <c r="F19" s="14"/>
      <c r="G19" s="14"/>
      <c r="H19" s="14"/>
    </row>
    <row r="20" spans="1:8" x14ac:dyDescent="0.2">
      <c r="A20" s="26" t="s">
        <v>249</v>
      </c>
      <c r="B20" s="18">
        <f>(B3-0.048)*B17</f>
        <v>1.9039999999999999</v>
      </c>
      <c r="C20" s="3"/>
      <c r="D20" s="1">
        <f t="shared" ref="D20:D57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(B3-0.003)*B17*2</f>
        <v>3.988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(B3-0.003)*B17*3</f>
        <v>5.9820000000000002</v>
      </c>
      <c r="C22" s="7"/>
      <c r="D22" s="81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3.992</v>
      </c>
      <c r="C23" s="7"/>
      <c r="D23" s="81">
        <f t="shared" si="0"/>
        <v>0</v>
      </c>
    </row>
    <row r="24" spans="1:8" x14ac:dyDescent="0.2">
      <c r="A24" s="26" t="s">
        <v>250</v>
      </c>
      <c r="B24" s="19">
        <f>(B3-0.103)*B17</f>
        <v>1.794</v>
      </c>
      <c r="C24" s="7"/>
      <c r="D24" s="81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81"/>
    </row>
    <row r="26" spans="1:8" x14ac:dyDescent="0.2">
      <c r="A26" s="26" t="s">
        <v>235</v>
      </c>
      <c r="B26" s="19">
        <f>2*B7</f>
        <v>2</v>
      </c>
      <c r="C26" s="7"/>
      <c r="D26" s="81">
        <f t="shared" si="0"/>
        <v>0</v>
      </c>
    </row>
    <row r="27" spans="1:8" x14ac:dyDescent="0.2">
      <c r="A27" s="26" t="s">
        <v>252</v>
      </c>
      <c r="B27" s="19">
        <f>B17</f>
        <v>2</v>
      </c>
      <c r="C27" s="7"/>
      <c r="D27" s="81">
        <f t="shared" si="0"/>
        <v>0</v>
      </c>
    </row>
    <row r="28" spans="1:8" x14ac:dyDescent="0.2">
      <c r="A28" s="26" t="s">
        <v>227</v>
      </c>
      <c r="B28" s="19">
        <f>4*B17</f>
        <v>8</v>
      </c>
      <c r="C28" s="7"/>
      <c r="D28" s="81">
        <f t="shared" si="0"/>
        <v>0</v>
      </c>
    </row>
    <row r="29" spans="1:8" x14ac:dyDescent="0.2">
      <c r="A29" s="26" t="s">
        <v>230</v>
      </c>
      <c r="B29" s="19">
        <f>B16*B17*2</f>
        <v>12</v>
      </c>
      <c r="C29" s="7"/>
      <c r="D29" s="81">
        <f t="shared" si="0"/>
        <v>0</v>
      </c>
    </row>
    <row r="30" spans="1:8" x14ac:dyDescent="0.2">
      <c r="A30" s="26" t="s">
        <v>231</v>
      </c>
      <c r="B30" s="19">
        <f>IF(B16=3,B16+1,B16)*B17</f>
        <v>8</v>
      </c>
      <c r="C30" s="7"/>
      <c r="D30" s="81">
        <f t="shared" si="0"/>
        <v>0</v>
      </c>
    </row>
    <row r="31" spans="1:8" x14ac:dyDescent="0.2">
      <c r="A31" s="26" t="s">
        <v>232</v>
      </c>
      <c r="B31" s="19">
        <f>IF($B$15=1,$B$16*$B$17,0)</f>
        <v>6</v>
      </c>
      <c r="C31" s="7"/>
      <c r="D31" s="81">
        <f t="shared" si="0"/>
        <v>0</v>
      </c>
    </row>
    <row r="32" spans="1:8" x14ac:dyDescent="0.2">
      <c r="A32" s="26" t="s">
        <v>233</v>
      </c>
      <c r="B32" s="19">
        <f>B31</f>
        <v>6</v>
      </c>
      <c r="C32" s="7"/>
      <c r="D32" s="81">
        <f t="shared" si="0"/>
        <v>0</v>
      </c>
    </row>
    <row r="33" spans="1:5" x14ac:dyDescent="0.2">
      <c r="A33" s="26" t="s">
        <v>21</v>
      </c>
      <c r="B33" s="19">
        <f>IF(B16=3,B16+1,B16)*B17+8*B7</f>
        <v>16</v>
      </c>
      <c r="C33" s="7"/>
      <c r="D33" s="81">
        <f t="shared" si="0"/>
        <v>0</v>
      </c>
    </row>
    <row r="34" spans="1:5" x14ac:dyDescent="0.2">
      <c r="A34" s="26" t="s">
        <v>112</v>
      </c>
      <c r="B34" s="19">
        <f>1*B7</f>
        <v>1</v>
      </c>
      <c r="C34" s="7"/>
      <c r="D34" s="81">
        <f t="shared" si="0"/>
        <v>0</v>
      </c>
    </row>
    <row r="35" spans="1:5" x14ac:dyDescent="0.2">
      <c r="A35" s="26" t="s">
        <v>164</v>
      </c>
      <c r="B35" s="19">
        <f>(IF(B4&gt;2,(IF(B16=3,4,B16)),0))*B17</f>
        <v>0</v>
      </c>
      <c r="C35" s="7"/>
      <c r="D35" s="81">
        <f t="shared" si="0"/>
        <v>0</v>
      </c>
    </row>
    <row r="36" spans="1:5" x14ac:dyDescent="0.2">
      <c r="A36" s="26" t="s">
        <v>165</v>
      </c>
      <c r="B36" s="19">
        <f>(IF(B4&lt;=2,(IF(B16=3,4,B16)),0))*B17</f>
        <v>8</v>
      </c>
      <c r="C36" s="7"/>
      <c r="D36" s="81">
        <f t="shared" si="0"/>
        <v>0</v>
      </c>
    </row>
    <row r="37" spans="1:5" x14ac:dyDescent="0.2">
      <c r="A37" s="26" t="s">
        <v>251</v>
      </c>
      <c r="B37" s="19">
        <f>B17</f>
        <v>2</v>
      </c>
      <c r="C37" s="7"/>
      <c r="D37" s="81">
        <f t="shared" si="0"/>
        <v>0</v>
      </c>
    </row>
    <row r="38" spans="1:5" x14ac:dyDescent="0.2">
      <c r="A38" s="26" t="s">
        <v>162</v>
      </c>
      <c r="B38" s="19">
        <f>B17</f>
        <v>2</v>
      </c>
      <c r="C38" s="7"/>
      <c r="D38" s="81">
        <f t="shared" si="0"/>
        <v>0</v>
      </c>
    </row>
    <row r="39" spans="1:5" x14ac:dyDescent="0.2">
      <c r="A39" s="26" t="s">
        <v>253</v>
      </c>
      <c r="B39" s="19">
        <f>B17</f>
        <v>2</v>
      </c>
      <c r="C39" s="7"/>
      <c r="D39" s="81">
        <f t="shared" si="0"/>
        <v>0</v>
      </c>
    </row>
    <row r="40" spans="1:5" x14ac:dyDescent="0.2">
      <c r="A40" s="26" t="s">
        <v>254</v>
      </c>
      <c r="B40" s="19">
        <f>B17</f>
        <v>2</v>
      </c>
      <c r="C40" s="7"/>
      <c r="D40" s="81">
        <f t="shared" si="0"/>
        <v>0</v>
      </c>
    </row>
    <row r="41" spans="1:5" x14ac:dyDescent="0.2">
      <c r="A41" s="26" t="s">
        <v>166</v>
      </c>
      <c r="B41" s="19">
        <f>B17</f>
        <v>2</v>
      </c>
      <c r="C41" s="7"/>
      <c r="D41" s="81">
        <f t="shared" si="0"/>
        <v>0</v>
      </c>
    </row>
    <row r="42" spans="1:5" x14ac:dyDescent="0.2">
      <c r="A42" s="26" t="s">
        <v>64</v>
      </c>
      <c r="B42" s="19">
        <f>((B4*2+0.2)*(B16-2)+(B4+0.2)*3)*B17+($B$3+2*$B$4+0.3)*$B$7</f>
        <v>20.900000000000002</v>
      </c>
      <c r="C42" s="7"/>
      <c r="D42" s="81">
        <f t="shared" si="0"/>
        <v>0</v>
      </c>
      <c r="E42" s="15"/>
    </row>
    <row r="43" spans="1:5" ht="12" thickBot="1" x14ac:dyDescent="0.25">
      <c r="A43" s="26" t="s">
        <v>234</v>
      </c>
      <c r="B43" s="19">
        <f>IF(B15=1,(B4+0.1)*B16*B17,0)</f>
        <v>9.6000000000000014</v>
      </c>
      <c r="C43" s="7"/>
      <c r="D43" s="81">
        <f t="shared" si="0"/>
        <v>0</v>
      </c>
      <c r="E43" s="15"/>
    </row>
    <row r="44" spans="1:5" x14ac:dyDescent="0.2">
      <c r="A44" s="26" t="s">
        <v>172</v>
      </c>
      <c r="B44" s="19">
        <v>0</v>
      </c>
      <c r="C44" s="7"/>
      <c r="D44" s="81">
        <f t="shared" si="0"/>
        <v>0</v>
      </c>
      <c r="E44" s="254" t="s">
        <v>178</v>
      </c>
    </row>
    <row r="45" spans="1:5" x14ac:dyDescent="0.2">
      <c r="A45" s="26" t="s">
        <v>171</v>
      </c>
      <c r="B45" s="19">
        <v>0</v>
      </c>
      <c r="C45" s="7"/>
      <c r="D45" s="81">
        <f t="shared" si="0"/>
        <v>0</v>
      </c>
      <c r="E45" s="255"/>
    </row>
    <row r="46" spans="1:5" x14ac:dyDescent="0.2">
      <c r="A46" s="26" t="s">
        <v>173</v>
      </c>
      <c r="B46" s="19">
        <v>0</v>
      </c>
      <c r="C46" s="7"/>
      <c r="D46" s="81">
        <f t="shared" si="0"/>
        <v>0</v>
      </c>
      <c r="E46" s="255"/>
    </row>
    <row r="47" spans="1:5" x14ac:dyDescent="0.2">
      <c r="A47" s="26" t="s">
        <v>174</v>
      </c>
      <c r="B47" s="19">
        <v>0</v>
      </c>
      <c r="C47" s="7"/>
      <c r="D47" s="81">
        <f t="shared" si="0"/>
        <v>0</v>
      </c>
      <c r="E47" s="255"/>
    </row>
    <row r="48" spans="1:5" x14ac:dyDescent="0.2">
      <c r="A48" s="26" t="s">
        <v>175</v>
      </c>
      <c r="B48" s="19">
        <v>0</v>
      </c>
      <c r="C48" s="7"/>
      <c r="D48" s="81">
        <f t="shared" si="0"/>
        <v>0</v>
      </c>
      <c r="E48" s="255"/>
    </row>
    <row r="49" spans="1:7" x14ac:dyDescent="0.2">
      <c r="A49" s="26" t="s">
        <v>176</v>
      </c>
      <c r="B49" s="19">
        <v>0</v>
      </c>
      <c r="C49" s="7"/>
      <c r="D49" s="81">
        <f t="shared" si="0"/>
        <v>0</v>
      </c>
      <c r="E49" s="255"/>
    </row>
    <row r="50" spans="1:7" ht="12" thickBot="1" x14ac:dyDescent="0.25">
      <c r="A50" s="27" t="s">
        <v>177</v>
      </c>
      <c r="B50" s="44">
        <v>0</v>
      </c>
      <c r="C50" s="11"/>
      <c r="D50" s="85">
        <f t="shared" si="0"/>
        <v>0</v>
      </c>
      <c r="E50" s="256"/>
    </row>
    <row r="51" spans="1:7" ht="12" thickBot="1" x14ac:dyDescent="0.25">
      <c r="A51" s="162"/>
      <c r="B51" s="163"/>
      <c r="C51" s="163"/>
      <c r="D51" s="164"/>
    </row>
    <row r="52" spans="1:7" ht="12.75" x14ac:dyDescent="0.2">
      <c r="A52" s="174" t="s">
        <v>14</v>
      </c>
      <c r="B52" s="175"/>
      <c r="C52" s="175"/>
      <c r="D52" s="176"/>
    </row>
    <row r="53" spans="1:7" x14ac:dyDescent="0.2">
      <c r="A53" s="26" t="s">
        <v>236</v>
      </c>
      <c r="B53" s="16">
        <f>IF(B9=1,F68*B17,0)</f>
        <v>0</v>
      </c>
      <c r="C53" s="7"/>
      <c r="D53" s="81">
        <f t="shared" si="0"/>
        <v>0</v>
      </c>
      <c r="E53" s="15"/>
    </row>
    <row r="54" spans="1:7" x14ac:dyDescent="0.2">
      <c r="A54" s="26" t="s">
        <v>201</v>
      </c>
      <c r="B54" s="16">
        <f>B7*2</f>
        <v>2</v>
      </c>
      <c r="C54" s="7"/>
      <c r="D54" s="81">
        <f t="shared" si="0"/>
        <v>0</v>
      </c>
      <c r="E54" s="15"/>
    </row>
    <row r="55" spans="1:7" x14ac:dyDescent="0.2">
      <c r="A55" s="26" t="s">
        <v>219</v>
      </c>
      <c r="B55" s="16">
        <f>IF(B10=1,F68*B17+2*B7,0)</f>
        <v>0</v>
      </c>
      <c r="C55" s="7"/>
      <c r="D55" s="81">
        <f t="shared" si="0"/>
        <v>0</v>
      </c>
      <c r="E55" s="15"/>
    </row>
    <row r="56" spans="1:7" x14ac:dyDescent="0.2">
      <c r="A56" s="26" t="s">
        <v>220</v>
      </c>
      <c r="B56" s="16">
        <f>IF(B11=1,F68*B17+2*B7,0)</f>
        <v>0</v>
      </c>
      <c r="C56" s="7"/>
      <c r="D56" s="81">
        <v>0</v>
      </c>
    </row>
    <row r="57" spans="1:7" x14ac:dyDescent="0.2">
      <c r="A57" s="26" t="s">
        <v>221</v>
      </c>
      <c r="B57" s="16">
        <f>IF(B12=1,F68*B17+2*B7,0)</f>
        <v>0</v>
      </c>
      <c r="C57" s="7"/>
      <c r="D57" s="81">
        <f t="shared" si="0"/>
        <v>0</v>
      </c>
    </row>
    <row r="58" spans="1:7" x14ac:dyDescent="0.2">
      <c r="A58" s="26" t="s">
        <v>222</v>
      </c>
      <c r="B58" s="16">
        <f>IF(B13=1,F68*B17+2*B7,0)</f>
        <v>8</v>
      </c>
      <c r="C58" s="7"/>
      <c r="D58" s="81">
        <f>B58*C58</f>
        <v>0</v>
      </c>
    </row>
    <row r="59" spans="1:7" x14ac:dyDescent="0.2">
      <c r="A59" s="26"/>
      <c r="B59" s="16"/>
      <c r="C59" s="7"/>
      <c r="D59" s="81"/>
    </row>
    <row r="60" spans="1:7" x14ac:dyDescent="0.2">
      <c r="A60" s="26"/>
      <c r="B60" s="16"/>
      <c r="C60" s="7" t="s">
        <v>7</v>
      </c>
      <c r="D60" s="81">
        <f>SUM(D20:D59)</f>
        <v>0</v>
      </c>
    </row>
    <row r="64" spans="1:7" x14ac:dyDescent="0.2">
      <c r="G64">
        <f>CEILING((B3-0.15)/0.6,1)+1</f>
        <v>3</v>
      </c>
    </row>
    <row r="66" spans="6:8" ht="12" thickBot="1" x14ac:dyDescent="0.25">
      <c r="F66" s="213" t="s">
        <v>9</v>
      </c>
      <c r="G66" s="213"/>
      <c r="H66" s="213"/>
    </row>
    <row r="67" spans="6:8" x14ac:dyDescent="0.2">
      <c r="F67" s="210" t="s">
        <v>70</v>
      </c>
      <c r="G67" s="211"/>
      <c r="H67" s="212"/>
    </row>
    <row r="68" spans="6:8" x14ac:dyDescent="0.2">
      <c r="F68" s="39">
        <f>G64</f>
        <v>3</v>
      </c>
      <c r="G68" s="6">
        <f>F68*B6</f>
        <v>3</v>
      </c>
      <c r="H68" s="1">
        <v>0</v>
      </c>
    </row>
    <row r="69" spans="6:8" x14ac:dyDescent="0.2">
      <c r="F69" s="39">
        <f>G64*2</f>
        <v>6</v>
      </c>
      <c r="G69" s="6">
        <f>F69*B7</f>
        <v>6</v>
      </c>
      <c r="H69" s="1">
        <v>0</v>
      </c>
    </row>
    <row r="70" spans="6:8" ht="12" thickBot="1" x14ac:dyDescent="0.25">
      <c r="F70" s="40">
        <f>G64</f>
        <v>3</v>
      </c>
      <c r="G70" s="36" t="e">
        <f>F70*#REF!</f>
        <v>#REF!</v>
      </c>
      <c r="H70" s="41" t="e">
        <f>2*#REF!</f>
        <v>#REF!</v>
      </c>
    </row>
    <row r="71" spans="6:8" ht="12" thickBot="1" x14ac:dyDescent="0.25">
      <c r="F71" s="37">
        <f>SUM(F68:F70)</f>
        <v>12</v>
      </c>
      <c r="G71" s="38" t="e">
        <f>SUM(G68:G70)</f>
        <v>#REF!</v>
      </c>
      <c r="H71" s="38" t="e">
        <f>SUM(H68:H70)</f>
        <v>#REF!</v>
      </c>
    </row>
    <row r="72" spans="6:8" x14ac:dyDescent="0.2">
      <c r="F72" s="42" t="s">
        <v>66</v>
      </c>
      <c r="G72" s="42" t="s">
        <v>74</v>
      </c>
      <c r="H72" s="42" t="s">
        <v>69</v>
      </c>
    </row>
  </sheetData>
  <mergeCells count="23">
    <mergeCell ref="C6:D6"/>
    <mergeCell ref="A1:D1"/>
    <mergeCell ref="A2:D2"/>
    <mergeCell ref="C3:D3"/>
    <mergeCell ref="C4:D4"/>
    <mergeCell ref="C5:D5"/>
    <mergeCell ref="A18:D18"/>
    <mergeCell ref="C7:D7"/>
    <mergeCell ref="A8:D8"/>
    <mergeCell ref="C9:D9"/>
    <mergeCell ref="C10:D10"/>
    <mergeCell ref="C11:D11"/>
    <mergeCell ref="C12:D12"/>
    <mergeCell ref="C13:D13"/>
    <mergeCell ref="A14:D14"/>
    <mergeCell ref="C15:D15"/>
    <mergeCell ref="C16:D16"/>
    <mergeCell ref="C17:D17"/>
    <mergeCell ref="E44:E50"/>
    <mergeCell ref="A51:D51"/>
    <mergeCell ref="A52:D52"/>
    <mergeCell ref="F66:H66"/>
    <mergeCell ref="F67:H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:A6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65" t="s">
        <v>203</v>
      </c>
      <c r="B1" s="166"/>
      <c r="C1" s="166"/>
      <c r="D1" s="166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20" t="s">
        <v>4</v>
      </c>
      <c r="B3" s="4">
        <v>1</v>
      </c>
      <c r="C3" s="170" t="s">
        <v>10</v>
      </c>
      <c r="D3" s="171"/>
    </row>
    <row r="4" spans="1:8" x14ac:dyDescent="0.2">
      <c r="A4" s="121" t="s">
        <v>1</v>
      </c>
      <c r="B4" s="21">
        <v>1</v>
      </c>
      <c r="C4" s="172" t="s">
        <v>10</v>
      </c>
      <c r="D4" s="205"/>
      <c r="E4" s="46"/>
      <c r="F4" s="14"/>
    </row>
    <row r="5" spans="1:8" x14ac:dyDescent="0.2">
      <c r="A5" s="126" t="s">
        <v>204</v>
      </c>
      <c r="B5" s="28">
        <v>1</v>
      </c>
      <c r="C5" s="197" t="s">
        <v>10</v>
      </c>
      <c r="D5" s="206"/>
      <c r="E5" s="46"/>
      <c r="F5" s="14"/>
      <c r="G5" s="14"/>
      <c r="H5" s="14"/>
    </row>
    <row r="6" spans="1:8" ht="12" thickBot="1" x14ac:dyDescent="0.25">
      <c r="A6" s="127" t="s">
        <v>205</v>
      </c>
      <c r="B6" s="30">
        <v>1</v>
      </c>
      <c r="C6" s="201" t="s">
        <v>10</v>
      </c>
      <c r="D6" s="204"/>
      <c r="E6" s="46"/>
      <c r="F6" s="14"/>
      <c r="G6" s="14"/>
      <c r="H6" s="14"/>
    </row>
    <row r="7" spans="1:8" ht="12" thickBot="1" x14ac:dyDescent="0.25">
      <c r="A7" s="187"/>
      <c r="B7" s="188"/>
      <c r="C7" s="188"/>
      <c r="D7" s="189"/>
      <c r="F7" s="14"/>
      <c r="G7" s="14"/>
      <c r="H7" s="14"/>
    </row>
    <row r="8" spans="1:8" x14ac:dyDescent="0.2">
      <c r="A8" s="32" t="s">
        <v>13</v>
      </c>
      <c r="B8" s="33">
        <f>CEILING((B3-0.1)/0.4,1)+1</f>
        <v>4</v>
      </c>
      <c r="C8" s="149" t="s">
        <v>9</v>
      </c>
      <c r="D8" s="150"/>
      <c r="E8" s="15"/>
      <c r="F8" s="14"/>
      <c r="G8" s="14"/>
      <c r="H8" s="14"/>
    </row>
    <row r="9" spans="1:8" ht="12" thickBot="1" x14ac:dyDescent="0.25">
      <c r="A9" s="34" t="s">
        <v>59</v>
      </c>
      <c r="B9" s="35">
        <f>SUM(B5:B6)</f>
        <v>2</v>
      </c>
      <c r="C9" s="185" t="s">
        <v>9</v>
      </c>
      <c r="D9" s="186"/>
      <c r="E9" s="15"/>
      <c r="F9" s="14"/>
      <c r="G9" s="14"/>
      <c r="H9" s="14"/>
    </row>
    <row r="10" spans="1:8" ht="12" thickBot="1" x14ac:dyDescent="0.25">
      <c r="F10" s="14"/>
      <c r="G10" s="14"/>
      <c r="H10" s="14"/>
    </row>
    <row r="11" spans="1:8" ht="12.75" x14ac:dyDescent="0.2">
      <c r="A11" s="64" t="s">
        <v>5</v>
      </c>
      <c r="B11" s="65" t="s">
        <v>0</v>
      </c>
      <c r="C11" s="9" t="s">
        <v>3</v>
      </c>
      <c r="D11" s="66" t="s">
        <v>6</v>
      </c>
      <c r="G11" s="14"/>
      <c r="H11" s="14"/>
    </row>
    <row r="12" spans="1:8" x14ac:dyDescent="0.2">
      <c r="A12" s="26" t="s">
        <v>207</v>
      </c>
      <c r="B12" s="19">
        <f>(B3-0.06)*2*B9</f>
        <v>3.76</v>
      </c>
      <c r="C12" s="7"/>
      <c r="D12" s="1">
        <f t="shared" ref="D12:D20" si="0">B12*C12</f>
        <v>0</v>
      </c>
      <c r="G12" s="14"/>
      <c r="H12" s="14"/>
    </row>
    <row r="13" spans="1:8" x14ac:dyDescent="0.2">
      <c r="A13" s="26" t="s">
        <v>206</v>
      </c>
      <c r="B13" s="19">
        <f>(B3-0.007)*2*B9</f>
        <v>3.972</v>
      </c>
      <c r="C13" s="7"/>
      <c r="D13" s="1">
        <f t="shared" si="0"/>
        <v>0</v>
      </c>
      <c r="G13" s="14"/>
      <c r="H13" s="14"/>
    </row>
    <row r="14" spans="1:8" x14ac:dyDescent="0.2">
      <c r="A14" s="26" t="s">
        <v>214</v>
      </c>
      <c r="B14" s="19">
        <f>(B3-0.003)*B9*2</f>
        <v>3.988</v>
      </c>
      <c r="C14" s="7"/>
      <c r="D14" s="67">
        <f t="shared" si="0"/>
        <v>0</v>
      </c>
    </row>
    <row r="15" spans="1:8" x14ac:dyDescent="0.2">
      <c r="A15" s="26" t="s">
        <v>208</v>
      </c>
      <c r="B15" s="19">
        <f>4*B9</f>
        <v>8</v>
      </c>
      <c r="C15" s="7"/>
      <c r="D15" s="67">
        <f t="shared" si="0"/>
        <v>0</v>
      </c>
    </row>
    <row r="16" spans="1:8" x14ac:dyDescent="0.2">
      <c r="A16" s="26" t="s">
        <v>209</v>
      </c>
      <c r="B16" s="19">
        <f>B8*2*B9</f>
        <v>16</v>
      </c>
      <c r="C16" s="7"/>
      <c r="D16" s="67">
        <f t="shared" si="0"/>
        <v>0</v>
      </c>
    </row>
    <row r="17" spans="1:5" x14ac:dyDescent="0.2">
      <c r="A17" s="20" t="s">
        <v>52</v>
      </c>
      <c r="B17" s="19">
        <f>(IF(B8&lt;=4,(B143*B3+B4+0.05-0.1+0.2)*2+(B3+B4+0.2)*2,IF(B8=5,(2*B3+B4+0.05-0.1+0.2)*2+(B3+B4+0.2)*4,(2*B3+B4+0.05-0.1+0.2)*2+(B3+B4+0.2)*2+(((B3-0.1)*4/5+0.1)+B4+0.2)*2)))*B9</f>
        <v>13.400000000000002</v>
      </c>
      <c r="C17" s="7"/>
      <c r="D17" s="67">
        <f t="shared" si="0"/>
        <v>0</v>
      </c>
      <c r="E17" s="15"/>
    </row>
    <row r="18" spans="1:5" x14ac:dyDescent="0.2">
      <c r="A18" s="26" t="s">
        <v>210</v>
      </c>
      <c r="B18" s="19">
        <f>(B3-0.007)*2*B5</f>
        <v>1.986</v>
      </c>
      <c r="C18" s="7"/>
      <c r="D18" s="67">
        <f t="shared" si="0"/>
        <v>0</v>
      </c>
      <c r="E18" s="15"/>
    </row>
    <row r="19" spans="1:5" x14ac:dyDescent="0.2">
      <c r="A19" s="26" t="s">
        <v>212</v>
      </c>
      <c r="B19" s="19">
        <f>B9*4</f>
        <v>8</v>
      </c>
      <c r="C19" s="7"/>
      <c r="D19" s="67"/>
      <c r="E19" s="15"/>
    </row>
    <row r="20" spans="1:5" x14ac:dyDescent="0.2">
      <c r="A20" s="26" t="s">
        <v>211</v>
      </c>
      <c r="B20" s="19">
        <f>B5*4</f>
        <v>4</v>
      </c>
      <c r="C20" s="7"/>
      <c r="D20" s="67">
        <f t="shared" si="0"/>
        <v>0</v>
      </c>
    </row>
    <row r="21" spans="1:5" ht="12" thickBot="1" x14ac:dyDescent="0.25">
      <c r="A21" s="162"/>
      <c r="B21" s="163"/>
      <c r="C21" s="163"/>
      <c r="D21" s="164"/>
    </row>
    <row r="22" spans="1:5" ht="12.75" x14ac:dyDescent="0.2">
      <c r="A22" s="174" t="s">
        <v>14</v>
      </c>
      <c r="B22" s="175"/>
      <c r="C22" s="175"/>
      <c r="D22" s="176"/>
    </row>
    <row r="23" spans="1:5" x14ac:dyDescent="0.2">
      <c r="A23" s="26" t="s">
        <v>34</v>
      </c>
      <c r="B23" s="19">
        <f>B6*4</f>
        <v>4</v>
      </c>
      <c r="C23" s="7"/>
      <c r="D23" s="67">
        <f>B23*C23</f>
        <v>0</v>
      </c>
      <c r="E23" s="15"/>
    </row>
    <row r="24" spans="1:5" x14ac:dyDescent="0.2">
      <c r="A24" s="26" t="s">
        <v>201</v>
      </c>
      <c r="B24" s="19">
        <f>B6*4</f>
        <v>4</v>
      </c>
      <c r="C24" s="7"/>
      <c r="D24" s="67">
        <f>B24*C24</f>
        <v>0</v>
      </c>
      <c r="E24" s="15"/>
    </row>
    <row r="25" spans="1:5" ht="12" thickBot="1" x14ac:dyDescent="0.25">
      <c r="A25" s="162"/>
      <c r="B25" s="163"/>
      <c r="C25" s="163"/>
      <c r="D25" s="164"/>
    </row>
    <row r="26" spans="1:5" ht="12.75" x14ac:dyDescent="0.2">
      <c r="A26" s="159" t="s">
        <v>8</v>
      </c>
      <c r="B26" s="160"/>
      <c r="C26" s="160"/>
      <c r="D26" s="203"/>
    </row>
    <row r="27" spans="1:5" ht="12" thickBot="1" x14ac:dyDescent="0.25">
      <c r="A27" s="27" t="s">
        <v>51</v>
      </c>
      <c r="B27" s="44">
        <v>1</v>
      </c>
      <c r="C27" s="11"/>
      <c r="D27" s="69">
        <f>B27*C27</f>
        <v>0</v>
      </c>
      <c r="E27" s="68"/>
    </row>
    <row r="28" spans="1:5" x14ac:dyDescent="0.2">
      <c r="C28" s="2" t="s">
        <v>7</v>
      </c>
      <c r="D28" s="2">
        <f>SUM(D12:D27)</f>
        <v>0</v>
      </c>
    </row>
  </sheetData>
  <mergeCells count="13">
    <mergeCell ref="C6:D6"/>
    <mergeCell ref="A1:D1"/>
    <mergeCell ref="A2:D2"/>
    <mergeCell ref="C3:D3"/>
    <mergeCell ref="C4:D4"/>
    <mergeCell ref="C5:D5"/>
    <mergeCell ref="A25:D25"/>
    <mergeCell ref="A26:D26"/>
    <mergeCell ref="A7:D7"/>
    <mergeCell ref="C8:D8"/>
    <mergeCell ref="C9:D9"/>
    <mergeCell ref="A21:D21"/>
    <mergeCell ref="A22:D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="115" zoomScaleNormal="100"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65" t="s">
        <v>80</v>
      </c>
      <c r="B1" s="166"/>
      <c r="C1" s="166"/>
      <c r="D1" s="166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20" t="s">
        <v>4</v>
      </c>
      <c r="B3" s="4">
        <v>1</v>
      </c>
      <c r="C3" s="170" t="s">
        <v>10</v>
      </c>
      <c r="D3" s="171"/>
    </row>
    <row r="4" spans="1:8" ht="12" thickBot="1" x14ac:dyDescent="0.25">
      <c r="A4" s="121" t="s">
        <v>1</v>
      </c>
      <c r="B4" s="21">
        <v>1</v>
      </c>
      <c r="C4" s="172" t="s">
        <v>10</v>
      </c>
      <c r="D4" s="173"/>
      <c r="E4" s="14"/>
    </row>
    <row r="5" spans="1:8" x14ac:dyDescent="0.2">
      <c r="A5" s="125" t="s">
        <v>81</v>
      </c>
      <c r="B5" s="45">
        <v>1</v>
      </c>
      <c r="C5" s="190" t="s">
        <v>10</v>
      </c>
      <c r="D5" s="154"/>
      <c r="E5" s="14"/>
    </row>
    <row r="6" spans="1:8" x14ac:dyDescent="0.2">
      <c r="A6" s="126" t="s">
        <v>82</v>
      </c>
      <c r="B6" s="28">
        <v>0</v>
      </c>
      <c r="C6" s="197" t="s">
        <v>10</v>
      </c>
      <c r="D6" s="178"/>
      <c r="E6" s="14"/>
      <c r="F6" s="14"/>
      <c r="G6" s="14"/>
      <c r="H6" s="14"/>
    </row>
    <row r="7" spans="1:8" ht="12" thickBot="1" x14ac:dyDescent="0.25">
      <c r="A7" s="127" t="s">
        <v>149</v>
      </c>
      <c r="B7" s="30">
        <v>0</v>
      </c>
      <c r="C7" s="201" t="s">
        <v>10</v>
      </c>
      <c r="D7" s="202"/>
      <c r="E7" s="14"/>
      <c r="F7" s="14"/>
      <c r="G7" s="14"/>
      <c r="H7" s="14"/>
    </row>
    <row r="8" spans="1:8" ht="12" thickBot="1" x14ac:dyDescent="0.25">
      <c r="A8" s="199" t="s">
        <v>14</v>
      </c>
      <c r="B8" s="179"/>
      <c r="C8" s="179"/>
      <c r="D8" s="200"/>
      <c r="E8" s="14"/>
      <c r="F8" s="14"/>
      <c r="G8" s="14"/>
      <c r="H8" s="14"/>
    </row>
    <row r="9" spans="1:8" x14ac:dyDescent="0.2">
      <c r="A9" s="125" t="s">
        <v>136</v>
      </c>
      <c r="B9" s="29">
        <v>1</v>
      </c>
      <c r="C9" s="180" t="s">
        <v>11</v>
      </c>
      <c r="D9" s="154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83" t="s">
        <v>11</v>
      </c>
      <c r="D10" s="184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81" t="s">
        <v>11</v>
      </c>
      <c r="D11" s="182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83" t="s">
        <v>11</v>
      </c>
      <c r="D12" s="184"/>
      <c r="E12" s="14"/>
      <c r="F12" s="14"/>
      <c r="G12" s="14"/>
      <c r="H12" s="14"/>
    </row>
    <row r="13" spans="1:8" ht="12" thickBot="1" x14ac:dyDescent="0.25">
      <c r="A13" s="127" t="s">
        <v>15</v>
      </c>
      <c r="B13" s="30">
        <v>0</v>
      </c>
      <c r="C13" s="151" t="s">
        <v>11</v>
      </c>
      <c r="D13" s="152"/>
      <c r="F13" s="14"/>
      <c r="G13" s="14"/>
      <c r="H13" s="14"/>
    </row>
    <row r="14" spans="1:8" ht="12" thickBot="1" x14ac:dyDescent="0.25">
      <c r="A14" s="187"/>
      <c r="B14" s="188"/>
      <c r="C14" s="188"/>
      <c r="D14" s="189"/>
      <c r="F14" s="14"/>
      <c r="G14" s="14"/>
      <c r="H14" s="14"/>
    </row>
    <row r="15" spans="1:8" x14ac:dyDescent="0.2">
      <c r="A15" s="32" t="s">
        <v>13</v>
      </c>
      <c r="B15" s="33">
        <f>CEILING((B3-0.1)/0.4,1)+1</f>
        <v>4</v>
      </c>
      <c r="C15" s="149" t="s">
        <v>9</v>
      </c>
      <c r="D15" s="150"/>
      <c r="E15" s="15"/>
      <c r="F15" s="14"/>
      <c r="G15" s="14"/>
      <c r="H15" s="14"/>
    </row>
    <row r="16" spans="1:8" ht="12" thickBot="1" x14ac:dyDescent="0.25">
      <c r="A16" s="34" t="s">
        <v>59</v>
      </c>
      <c r="B16" s="35">
        <f>SUM(B5:B7)</f>
        <v>1</v>
      </c>
      <c r="C16" s="185" t="s">
        <v>9</v>
      </c>
      <c r="D16" s="186"/>
      <c r="E16" s="15"/>
      <c r="F16" s="14"/>
      <c r="G16" s="14"/>
      <c r="H16" s="14"/>
    </row>
    <row r="17" spans="1:8" ht="12" thickBot="1" x14ac:dyDescent="0.25">
      <c r="A17" s="207"/>
      <c r="B17" s="207"/>
      <c r="C17" s="207"/>
      <c r="D17" s="207"/>
      <c r="F17" s="14"/>
      <c r="G17" s="14"/>
      <c r="H17" s="14"/>
    </row>
    <row r="18" spans="1:8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F18" s="14"/>
      <c r="G18" s="14"/>
      <c r="H18" s="14"/>
    </row>
    <row r="19" spans="1:8" x14ac:dyDescent="0.2">
      <c r="A19" s="47" t="s">
        <v>16</v>
      </c>
      <c r="B19" s="19">
        <f>B3*(B5+B6+2*B7)</f>
        <v>1</v>
      </c>
      <c r="C19" s="7"/>
      <c r="D19" s="1">
        <f t="shared" ref="D19:D39" si="0">B19*C19</f>
        <v>0</v>
      </c>
      <c r="F19" s="14"/>
      <c r="G19" s="14"/>
      <c r="H19" s="14"/>
    </row>
    <row r="20" spans="1:8" x14ac:dyDescent="0.2">
      <c r="A20" s="47" t="s">
        <v>17</v>
      </c>
      <c r="B20" s="19">
        <f>B3*(B5+B6+2*B7)</f>
        <v>1</v>
      </c>
      <c r="C20" s="7"/>
      <c r="D20" s="1">
        <f t="shared" si="0"/>
        <v>0</v>
      </c>
      <c r="F20" s="14"/>
      <c r="G20" s="14"/>
      <c r="H20" s="14"/>
    </row>
    <row r="21" spans="1:8" x14ac:dyDescent="0.2">
      <c r="A21" s="47" t="s">
        <v>88</v>
      </c>
      <c r="B21" s="19">
        <f>(B3-0.007)*B6</f>
        <v>0</v>
      </c>
      <c r="C21" s="7"/>
      <c r="D21" s="12">
        <f t="shared" si="0"/>
        <v>0</v>
      </c>
      <c r="F21" s="14"/>
      <c r="G21" s="14"/>
      <c r="H21" s="14"/>
    </row>
    <row r="22" spans="1:8" x14ac:dyDescent="0.2">
      <c r="A22" s="47" t="s">
        <v>83</v>
      </c>
      <c r="B22" s="19">
        <f>2*B3*(B5+B6)</f>
        <v>2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47" t="s">
        <v>18</v>
      </c>
      <c r="B23" s="19">
        <f>B3*(B5+B6+2*B7)</f>
        <v>1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47" t="s">
        <v>87</v>
      </c>
      <c r="B24" s="19">
        <f>(B3-0.003)*B16*4</f>
        <v>3.988</v>
      </c>
      <c r="C24" s="7"/>
      <c r="D24" s="12">
        <f t="shared" si="0"/>
        <v>0</v>
      </c>
    </row>
    <row r="25" spans="1:8" x14ac:dyDescent="0.2">
      <c r="A25" s="48" t="s">
        <v>121</v>
      </c>
      <c r="B25" s="19">
        <f>2*(B5+B6)</f>
        <v>2</v>
      </c>
      <c r="C25" s="7"/>
      <c r="D25" s="12">
        <f t="shared" si="0"/>
        <v>0</v>
      </c>
    </row>
    <row r="26" spans="1:8" x14ac:dyDescent="0.2">
      <c r="A26" s="48" t="s">
        <v>126</v>
      </c>
      <c r="B26" s="19">
        <f>4*B7</f>
        <v>0</v>
      </c>
      <c r="C26" s="7"/>
      <c r="D26" s="12">
        <f t="shared" si="0"/>
        <v>0</v>
      </c>
    </row>
    <row r="27" spans="1:8" x14ac:dyDescent="0.2">
      <c r="A27" s="47" t="s">
        <v>20</v>
      </c>
      <c r="B27" s="19">
        <f>2*B5</f>
        <v>2</v>
      </c>
      <c r="C27" s="7"/>
      <c r="D27" s="12">
        <f t="shared" si="0"/>
        <v>0</v>
      </c>
    </row>
    <row r="28" spans="1:8" x14ac:dyDescent="0.2">
      <c r="A28" s="47" t="s">
        <v>127</v>
      </c>
      <c r="B28" s="19">
        <f>4*B7</f>
        <v>0</v>
      </c>
      <c r="C28" s="7"/>
      <c r="D28" s="12">
        <f t="shared" si="0"/>
        <v>0</v>
      </c>
    </row>
    <row r="29" spans="1:8" x14ac:dyDescent="0.2">
      <c r="A29" s="47" t="s">
        <v>68</v>
      </c>
      <c r="B29" s="19">
        <f>2*B6</f>
        <v>0</v>
      </c>
      <c r="C29" s="7"/>
      <c r="D29" s="12">
        <f t="shared" si="0"/>
        <v>0</v>
      </c>
    </row>
    <row r="30" spans="1:8" x14ac:dyDescent="0.2">
      <c r="A30" s="48" t="s">
        <v>122</v>
      </c>
      <c r="B30" s="19">
        <f>2*(B5+B6)</f>
        <v>2</v>
      </c>
      <c r="C30" s="7"/>
      <c r="D30" s="12">
        <f t="shared" si="0"/>
        <v>0</v>
      </c>
    </row>
    <row r="31" spans="1:8" x14ac:dyDescent="0.2">
      <c r="A31" s="47" t="s">
        <v>21</v>
      </c>
      <c r="B31" s="19">
        <f>B15*2*(B5+B6)+B15*4*B7</f>
        <v>8</v>
      </c>
      <c r="C31" s="7"/>
      <c r="D31" s="12">
        <f t="shared" si="0"/>
        <v>0</v>
      </c>
    </row>
    <row r="32" spans="1:8" x14ac:dyDescent="0.2">
      <c r="A32" s="48" t="s">
        <v>85</v>
      </c>
      <c r="B32" s="19">
        <f>IF(B8=1,B11*2,0)</f>
        <v>0</v>
      </c>
      <c r="C32" s="7"/>
      <c r="D32" s="12">
        <f t="shared" si="0"/>
        <v>0</v>
      </c>
    </row>
    <row r="33" spans="1:5" x14ac:dyDescent="0.2">
      <c r="A33" s="26" t="s">
        <v>24</v>
      </c>
      <c r="B33" s="19">
        <f>B37</f>
        <v>4</v>
      </c>
      <c r="C33" s="7"/>
      <c r="D33" s="12">
        <f t="shared" si="0"/>
        <v>0</v>
      </c>
    </row>
    <row r="34" spans="1:5" x14ac:dyDescent="0.2">
      <c r="A34" s="47" t="s">
        <v>22</v>
      </c>
      <c r="B34" s="19">
        <f>B32</f>
        <v>0</v>
      </c>
      <c r="C34" s="7"/>
      <c r="D34" s="12">
        <f t="shared" si="0"/>
        <v>0</v>
      </c>
    </row>
    <row r="35" spans="1:5" x14ac:dyDescent="0.2">
      <c r="A35" s="47" t="s">
        <v>86</v>
      </c>
      <c r="B35" s="19">
        <f>IF(B9=1,B11*2,0)</f>
        <v>0</v>
      </c>
      <c r="C35" s="7"/>
      <c r="D35" s="12">
        <f t="shared" si="0"/>
        <v>0</v>
      </c>
    </row>
    <row r="36" spans="1:5" x14ac:dyDescent="0.2">
      <c r="A36" s="49" t="s">
        <v>52</v>
      </c>
      <c r="B36" s="19">
        <f>(IF(B15=2,(4*B4+4*B3),IF(B15=3,6*B4+10*B3,IF(B15=4,6*B4+10*B3,IF(B15=5,8*B4+11*B3,IF(B15=6,8*B4+11*B3,0))))))*B16</f>
        <v>16</v>
      </c>
      <c r="C36" s="7"/>
      <c r="D36" s="12">
        <f t="shared" si="0"/>
        <v>0</v>
      </c>
      <c r="E36" s="15"/>
    </row>
    <row r="37" spans="1:5" x14ac:dyDescent="0.2">
      <c r="A37" s="49" t="s">
        <v>23</v>
      </c>
      <c r="B37" s="19">
        <f>(IF(B3&lt;=0.8,2,4))*B16</f>
        <v>4</v>
      </c>
      <c r="C37" s="7"/>
      <c r="D37" s="12">
        <f t="shared" si="0"/>
        <v>0</v>
      </c>
      <c r="E37" s="15"/>
    </row>
    <row r="38" spans="1:5" x14ac:dyDescent="0.2">
      <c r="A38" s="26" t="s">
        <v>25</v>
      </c>
      <c r="B38" s="19">
        <f>B37</f>
        <v>4</v>
      </c>
      <c r="C38" s="7"/>
      <c r="D38" s="12">
        <f t="shared" si="0"/>
        <v>0</v>
      </c>
    </row>
    <row r="39" spans="1:5" ht="12" thickBot="1" x14ac:dyDescent="0.25">
      <c r="A39" s="27" t="s">
        <v>26</v>
      </c>
      <c r="B39" s="44">
        <f>2*B5</f>
        <v>2</v>
      </c>
      <c r="C39" s="11"/>
      <c r="D39" s="61">
        <f t="shared" si="0"/>
        <v>0</v>
      </c>
    </row>
    <row r="40" spans="1:5" ht="12" thickBot="1" x14ac:dyDescent="0.25">
      <c r="A40" s="162"/>
      <c r="B40" s="163"/>
      <c r="C40" s="163"/>
      <c r="D40" s="164"/>
    </row>
    <row r="41" spans="1:5" ht="12.75" x14ac:dyDescent="0.2">
      <c r="A41" s="174" t="s">
        <v>14</v>
      </c>
      <c r="B41" s="175"/>
      <c r="C41" s="175"/>
      <c r="D41" s="176"/>
    </row>
    <row r="42" spans="1:5" x14ac:dyDescent="0.2">
      <c r="A42" s="26" t="s">
        <v>34</v>
      </c>
      <c r="B42" s="19">
        <f>IF(OR(B9=1,B10=1,B11=1,B13=1),2*B5,0)</f>
        <v>2</v>
      </c>
      <c r="C42" s="7"/>
      <c r="D42" s="12">
        <f>B42*C42</f>
        <v>0</v>
      </c>
      <c r="E42" s="15"/>
    </row>
    <row r="43" spans="1:5" x14ac:dyDescent="0.2">
      <c r="A43" s="26" t="s">
        <v>201</v>
      </c>
      <c r="B43" s="19">
        <f>IF(B9=1,2*B5,IF(B10=1,2*B5,IF(B11=1,2*B5,0)))</f>
        <v>2</v>
      </c>
      <c r="C43" s="7"/>
      <c r="D43" s="62">
        <f>B43*C43</f>
        <v>0</v>
      </c>
      <c r="E43" s="15"/>
    </row>
    <row r="44" spans="1:5" x14ac:dyDescent="0.2">
      <c r="A44" s="26" t="s">
        <v>35</v>
      </c>
      <c r="B44" s="19">
        <f>IF(B10=1,(B15+2)*B16,0)</f>
        <v>0</v>
      </c>
      <c r="C44" s="7"/>
      <c r="D44" s="12">
        <f>B44*C44</f>
        <v>0</v>
      </c>
      <c r="E44" s="15"/>
    </row>
    <row r="45" spans="1:5" x14ac:dyDescent="0.2">
      <c r="A45" s="26" t="s">
        <v>36</v>
      </c>
      <c r="B45" s="19">
        <f>IF(B10=1,B15*B6*2+B15*B5+2*B15*B7,0)</f>
        <v>0</v>
      </c>
      <c r="C45" s="7"/>
      <c r="D45" s="12">
        <f>B59*C45</f>
        <v>0</v>
      </c>
    </row>
    <row r="46" spans="1:5" x14ac:dyDescent="0.2">
      <c r="A46" s="26" t="s">
        <v>37</v>
      </c>
      <c r="B46" s="19">
        <f>IF(B11=1,2*B5,0)</f>
        <v>0</v>
      </c>
      <c r="C46" s="7"/>
      <c r="D46" s="12">
        <f t="shared" ref="D46:D59" si="1">B46*C46</f>
        <v>0</v>
      </c>
    </row>
    <row r="47" spans="1:5" x14ac:dyDescent="0.2">
      <c r="A47" s="26" t="s">
        <v>38</v>
      </c>
      <c r="B47" s="19">
        <f>IF(B11=1,B15*B5+B15*B6*2+2*B15*B7,0)</f>
        <v>0</v>
      </c>
      <c r="C47" s="7"/>
      <c r="D47" s="12">
        <f t="shared" si="1"/>
        <v>0</v>
      </c>
    </row>
    <row r="48" spans="1:5" x14ac:dyDescent="0.2">
      <c r="A48" s="26" t="s">
        <v>39</v>
      </c>
      <c r="B48" s="19">
        <f>IF(B9=1,B15*B5+B15*B6*2+B15*B7*2,IF(B10=1,0,IF(B12=1,B15*B5+B15*B6*2+2*B15*B7,IF(B13=1,B15*B5+B15*B6*2+2*B15*B7,0))))</f>
        <v>4</v>
      </c>
      <c r="C48" s="7"/>
      <c r="D48" s="12">
        <f t="shared" si="1"/>
        <v>0</v>
      </c>
    </row>
    <row r="49" spans="1:4" x14ac:dyDescent="0.2">
      <c r="A49" s="26" t="s">
        <v>33</v>
      </c>
      <c r="B49" s="19">
        <f>(IF(B10=1,B15*B5+B15*B6*2+B15*2*B7,IF(B11=1,0,0)))</f>
        <v>0</v>
      </c>
      <c r="C49" s="7"/>
      <c r="D49" s="12">
        <f t="shared" si="1"/>
        <v>0</v>
      </c>
    </row>
    <row r="50" spans="1:4" x14ac:dyDescent="0.2">
      <c r="A50" s="26" t="s">
        <v>40</v>
      </c>
      <c r="B50" s="19">
        <f>IF(B12=1,B15*B5+B15*B6*2+2*B15*B7,0)</f>
        <v>0</v>
      </c>
      <c r="C50" s="7"/>
      <c r="D50" s="12">
        <f t="shared" si="1"/>
        <v>0</v>
      </c>
    </row>
    <row r="51" spans="1:4" x14ac:dyDescent="0.2">
      <c r="A51" s="26" t="s">
        <v>41</v>
      </c>
      <c r="B51" s="19">
        <f>IF(B12=1,1*B5,0)</f>
        <v>0</v>
      </c>
      <c r="C51" s="7"/>
      <c r="D51" s="12">
        <f t="shared" si="1"/>
        <v>0</v>
      </c>
    </row>
    <row r="52" spans="1:4" x14ac:dyDescent="0.2">
      <c r="A52" s="26" t="s">
        <v>32</v>
      </c>
      <c r="B52" s="19">
        <f>B51*2+B50</f>
        <v>0</v>
      </c>
      <c r="C52" s="7"/>
      <c r="D52" s="12">
        <f t="shared" si="1"/>
        <v>0</v>
      </c>
    </row>
    <row r="53" spans="1:4" x14ac:dyDescent="0.2">
      <c r="A53" s="26" t="s">
        <v>42</v>
      </c>
      <c r="B53" s="6">
        <f>IF(B10=1,2*B5,IF(B11=1,2*B5,IF(B13=1,2*B5,0)))</f>
        <v>0</v>
      </c>
      <c r="C53" s="7"/>
      <c r="D53" s="12">
        <f t="shared" si="1"/>
        <v>0</v>
      </c>
    </row>
    <row r="54" spans="1:4" x14ac:dyDescent="0.2">
      <c r="A54" s="26" t="s">
        <v>135</v>
      </c>
      <c r="B54" s="19">
        <f>B53</f>
        <v>0</v>
      </c>
      <c r="C54" s="7"/>
      <c r="D54" s="12">
        <f t="shared" si="1"/>
        <v>0</v>
      </c>
    </row>
    <row r="55" spans="1:4" x14ac:dyDescent="0.2">
      <c r="A55" s="26" t="s">
        <v>202</v>
      </c>
      <c r="B55" s="6">
        <f>IF(B10=1,B15*B6*2+B15*B5+2*B15*B7,IF(B12=1,B15*B6*2+B15*B5+2*B15*B7,0))</f>
        <v>0</v>
      </c>
      <c r="C55" s="3"/>
      <c r="D55" s="12">
        <f t="shared" si="1"/>
        <v>0</v>
      </c>
    </row>
    <row r="56" spans="1:4" x14ac:dyDescent="0.2">
      <c r="A56" s="26" t="s">
        <v>43</v>
      </c>
      <c r="B56" s="6">
        <f>B50*2*B6+2*B51*B7</f>
        <v>0</v>
      </c>
      <c r="C56" s="7"/>
      <c r="D56" s="12">
        <f t="shared" si="1"/>
        <v>0</v>
      </c>
    </row>
    <row r="57" spans="1:4" x14ac:dyDescent="0.2">
      <c r="A57" s="26" t="s">
        <v>44</v>
      </c>
      <c r="B57" s="6">
        <f>B51*2*B6+B51*2*B7</f>
        <v>0</v>
      </c>
      <c r="C57" s="7"/>
      <c r="D57" s="12">
        <f t="shared" si="1"/>
        <v>0</v>
      </c>
    </row>
    <row r="58" spans="1:4" x14ac:dyDescent="0.2">
      <c r="A58" s="26" t="s">
        <v>45</v>
      </c>
      <c r="B58" s="19">
        <f>IF(B9=1,B42,0)</f>
        <v>2</v>
      </c>
      <c r="C58" s="7"/>
      <c r="D58" s="12">
        <f t="shared" si="1"/>
        <v>0</v>
      </c>
    </row>
    <row r="59" spans="1:4" ht="12" thickBot="1" x14ac:dyDescent="0.25">
      <c r="A59" s="27" t="s">
        <v>46</v>
      </c>
      <c r="B59" s="44">
        <f>IF(B13=1,B15*B6*2+B15*B5+4*B7,0)</f>
        <v>0</v>
      </c>
      <c r="C59" s="11"/>
      <c r="D59" s="13">
        <f t="shared" si="1"/>
        <v>0</v>
      </c>
    </row>
    <row r="60" spans="1:4" ht="12" thickBot="1" x14ac:dyDescent="0.25">
      <c r="A60" s="162"/>
      <c r="B60" s="163"/>
      <c r="C60" s="163"/>
      <c r="D60" s="164"/>
    </row>
    <row r="61" spans="1:4" ht="12.75" x14ac:dyDescent="0.2">
      <c r="A61" s="159" t="s">
        <v>8</v>
      </c>
      <c r="B61" s="160"/>
      <c r="C61" s="160"/>
      <c r="D61" s="203"/>
    </row>
    <row r="62" spans="1:4" x14ac:dyDescent="0.2">
      <c r="A62" s="26" t="s">
        <v>47</v>
      </c>
      <c r="B62" s="19">
        <v>1</v>
      </c>
      <c r="C62" s="7"/>
      <c r="D62" s="12">
        <f>B62*C62</f>
        <v>0</v>
      </c>
    </row>
    <row r="63" spans="1:4" ht="12.75" customHeight="1" x14ac:dyDescent="0.2">
      <c r="A63" s="26" t="s">
        <v>48</v>
      </c>
      <c r="B63" s="19">
        <v>1</v>
      </c>
      <c r="C63" s="7"/>
      <c r="D63" s="12">
        <f>B63*C63</f>
        <v>0</v>
      </c>
    </row>
    <row r="64" spans="1:4" ht="12" thickBot="1" x14ac:dyDescent="0.25">
      <c r="A64" s="26" t="s">
        <v>49</v>
      </c>
      <c r="B64" s="19">
        <v>1</v>
      </c>
      <c r="C64" s="7"/>
      <c r="D64" s="12">
        <f>B64*C64</f>
        <v>0</v>
      </c>
    </row>
    <row r="65" spans="1:5" ht="11.25" customHeight="1" x14ac:dyDescent="0.2">
      <c r="A65" s="26" t="s">
        <v>50</v>
      </c>
      <c r="B65" s="19">
        <v>1</v>
      </c>
      <c r="C65" s="7"/>
      <c r="D65" s="12">
        <f>B65*C65</f>
        <v>0</v>
      </c>
      <c r="E65" s="157" t="s">
        <v>78</v>
      </c>
    </row>
    <row r="66" spans="1:5" ht="12" thickBot="1" x14ac:dyDescent="0.25">
      <c r="A66" s="27" t="s">
        <v>51</v>
      </c>
      <c r="B66" s="44">
        <v>1</v>
      </c>
      <c r="C66" s="11"/>
      <c r="D66" s="13">
        <f>B66*C66</f>
        <v>0</v>
      </c>
      <c r="E66" s="158"/>
    </row>
    <row r="67" spans="1:5" x14ac:dyDescent="0.2">
      <c r="C67" s="2" t="s">
        <v>7</v>
      </c>
      <c r="D67" s="2">
        <f>SUM(D19:D66)</f>
        <v>0</v>
      </c>
    </row>
  </sheetData>
  <mergeCells count="22">
    <mergeCell ref="C10:D10"/>
    <mergeCell ref="A1:D1"/>
    <mergeCell ref="A2:D2"/>
    <mergeCell ref="C3:D3"/>
    <mergeCell ref="C4:D4"/>
    <mergeCell ref="C6:D6"/>
    <mergeCell ref="E65:E66"/>
    <mergeCell ref="C5:D5"/>
    <mergeCell ref="C16:D16"/>
    <mergeCell ref="A14:D14"/>
    <mergeCell ref="A40:D40"/>
    <mergeCell ref="A41:D41"/>
    <mergeCell ref="A61:D61"/>
    <mergeCell ref="A60:D60"/>
    <mergeCell ref="C15:D15"/>
    <mergeCell ref="A17:D17"/>
    <mergeCell ref="C7:D7"/>
    <mergeCell ref="C12:D12"/>
    <mergeCell ref="C13:D13"/>
    <mergeCell ref="A8:D8"/>
    <mergeCell ref="C9:D9"/>
    <mergeCell ref="C11:D1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4" zoomScale="115" zoomScaleNormal="100" workbookViewId="0">
      <selection activeCell="A39" sqref="A39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60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5">
        <v>1</v>
      </c>
      <c r="C3" s="220" t="s">
        <v>10</v>
      </c>
      <c r="D3" s="171"/>
    </row>
    <row r="4" spans="1:8" x14ac:dyDescent="0.2">
      <c r="A4" s="137" t="s">
        <v>54</v>
      </c>
      <c r="B4" s="22">
        <v>1</v>
      </c>
      <c r="C4" s="221" t="s">
        <v>10</v>
      </c>
      <c r="D4" s="182"/>
    </row>
    <row r="5" spans="1:8" ht="12" thickBot="1" x14ac:dyDescent="0.25">
      <c r="A5" s="138" t="s">
        <v>53</v>
      </c>
      <c r="B5" s="31">
        <v>0.5</v>
      </c>
      <c r="C5" s="222" t="s">
        <v>10</v>
      </c>
      <c r="D5" s="173"/>
    </row>
    <row r="6" spans="1:8" x14ac:dyDescent="0.2">
      <c r="A6" s="125" t="s">
        <v>57</v>
      </c>
      <c r="B6" s="29">
        <v>2</v>
      </c>
      <c r="C6" s="217" t="s">
        <v>10</v>
      </c>
      <c r="D6" s="218"/>
      <c r="H6" s="14"/>
    </row>
    <row r="7" spans="1:8" x14ac:dyDescent="0.2">
      <c r="A7" s="126" t="s">
        <v>146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27" t="s">
        <v>58</v>
      </c>
      <c r="B8" s="30">
        <v>1</v>
      </c>
      <c r="C8" s="201" t="s">
        <v>10</v>
      </c>
      <c r="D8" s="202"/>
      <c r="H8" s="14"/>
    </row>
    <row r="9" spans="1:8" ht="12" thickBot="1" x14ac:dyDescent="0.25">
      <c r="A9" s="179" t="s">
        <v>14</v>
      </c>
      <c r="B9" s="179"/>
      <c r="C9" s="179"/>
      <c r="D9" s="179"/>
      <c r="H9" s="14"/>
    </row>
    <row r="10" spans="1:8" x14ac:dyDescent="0.2">
      <c r="A10" s="125" t="s">
        <v>29</v>
      </c>
      <c r="B10" s="29">
        <v>0</v>
      </c>
      <c r="C10" s="180" t="s">
        <v>11</v>
      </c>
      <c r="D10" s="154"/>
      <c r="H10" s="14"/>
    </row>
    <row r="11" spans="1:8" x14ac:dyDescent="0.2">
      <c r="A11" s="126" t="s">
        <v>31</v>
      </c>
      <c r="B11" s="28">
        <v>1</v>
      </c>
      <c r="C11" s="183" t="s">
        <v>11</v>
      </c>
      <c r="D11" s="184"/>
      <c r="F11" s="14"/>
      <c r="G11" s="14"/>
      <c r="H11" s="14"/>
    </row>
    <row r="12" spans="1:8" x14ac:dyDescent="0.2">
      <c r="A12" s="126" t="s">
        <v>30</v>
      </c>
      <c r="B12" s="24">
        <v>0</v>
      </c>
      <c r="C12" s="181" t="s">
        <v>11</v>
      </c>
      <c r="D12" s="182"/>
      <c r="F12" s="14"/>
      <c r="G12" s="14"/>
      <c r="H12" s="14"/>
    </row>
    <row r="13" spans="1:8" x14ac:dyDescent="0.2">
      <c r="A13" s="126" t="s">
        <v>28</v>
      </c>
      <c r="B13" s="28">
        <v>0</v>
      </c>
      <c r="C13" s="183" t="s">
        <v>11</v>
      </c>
      <c r="D13" s="184"/>
      <c r="F13" s="14"/>
      <c r="G13" s="14"/>
      <c r="H13" s="14"/>
    </row>
    <row r="14" spans="1:8" x14ac:dyDescent="0.2">
      <c r="A14" s="126" t="s">
        <v>15</v>
      </c>
      <c r="B14" s="24">
        <v>0</v>
      </c>
      <c r="C14" s="198" t="s">
        <v>11</v>
      </c>
      <c r="D14" s="182"/>
      <c r="F14" s="14"/>
      <c r="G14" s="14"/>
      <c r="H14" s="14"/>
    </row>
    <row r="15" spans="1:8" ht="12" thickBot="1" x14ac:dyDescent="0.25">
      <c r="A15" s="139" t="s">
        <v>278</v>
      </c>
      <c r="B15" s="140">
        <v>0</v>
      </c>
      <c r="C15" s="208" t="s">
        <v>11</v>
      </c>
      <c r="D15" s="209"/>
      <c r="F15" s="14"/>
      <c r="G15" s="14"/>
      <c r="H15" s="14"/>
    </row>
    <row r="16" spans="1:8" ht="12" thickBot="1" x14ac:dyDescent="0.25">
      <c r="A16" s="214"/>
      <c r="B16" s="215"/>
      <c r="C16" s="215"/>
      <c r="D16" s="216"/>
      <c r="F16" s="14"/>
      <c r="G16" s="14"/>
      <c r="H16" s="14"/>
    </row>
    <row r="17" spans="1:8" x14ac:dyDescent="0.2">
      <c r="A17" s="32" t="s">
        <v>13</v>
      </c>
      <c r="B17" s="33">
        <f>CEILING((B3-0.1)/0.4,1)+1</f>
        <v>4</v>
      </c>
      <c r="C17" s="149" t="s">
        <v>9</v>
      </c>
      <c r="D17" s="150"/>
      <c r="E17" s="15"/>
      <c r="F17" s="14"/>
      <c r="G17" s="14"/>
      <c r="H17" s="14"/>
    </row>
    <row r="18" spans="1:8" ht="12" thickBot="1" x14ac:dyDescent="0.25">
      <c r="A18" s="34" t="s">
        <v>59</v>
      </c>
      <c r="B18" s="35">
        <f>SUM(B6:B8)</f>
        <v>4</v>
      </c>
      <c r="C18" s="185" t="s">
        <v>9</v>
      </c>
      <c r="D18" s="186"/>
      <c r="E18" s="15"/>
      <c r="F18" s="14"/>
      <c r="G18" s="14"/>
      <c r="H18" s="14"/>
    </row>
    <row r="19" spans="1:8" ht="12" thickBot="1" x14ac:dyDescent="0.25">
      <c r="A19" s="207"/>
      <c r="B19" s="207"/>
      <c r="C19" s="207"/>
      <c r="D19" s="207"/>
      <c r="F19" s="14"/>
      <c r="G19" s="14"/>
      <c r="H19" s="14"/>
    </row>
    <row r="20" spans="1:8" ht="12.75" x14ac:dyDescent="0.2">
      <c r="A20" s="8" t="s">
        <v>5</v>
      </c>
      <c r="B20" s="25" t="s">
        <v>0</v>
      </c>
      <c r="C20" s="9" t="s">
        <v>3</v>
      </c>
      <c r="D20" s="10" t="s">
        <v>6</v>
      </c>
      <c r="F20" s="14"/>
      <c r="G20" s="14"/>
      <c r="H20" s="14"/>
    </row>
    <row r="21" spans="1:8" x14ac:dyDescent="0.2">
      <c r="A21" s="26" t="s">
        <v>16</v>
      </c>
      <c r="B21" s="18">
        <f>(B3-0.07)*B18</f>
        <v>3.7199999999999998</v>
      </c>
      <c r="C21" s="3"/>
      <c r="D21" s="1">
        <f t="shared" ref="D21:D64" si="0">B21*C21</f>
        <v>0</v>
      </c>
      <c r="F21" s="14"/>
      <c r="G21" s="14"/>
      <c r="H21" s="14"/>
    </row>
    <row r="22" spans="1:8" x14ac:dyDescent="0.2">
      <c r="A22" s="26" t="s">
        <v>17</v>
      </c>
      <c r="B22" s="18">
        <f>(B3-0.007)*B18</f>
        <v>3.972</v>
      </c>
      <c r="C22" s="3"/>
      <c r="D22" s="1">
        <f t="shared" si="0"/>
        <v>0</v>
      </c>
      <c r="F22" s="14"/>
      <c r="G22" s="14"/>
      <c r="H22" s="14"/>
    </row>
    <row r="23" spans="1:8" x14ac:dyDescent="0.2">
      <c r="A23" s="26" t="s">
        <v>18</v>
      </c>
      <c r="B23" s="19">
        <f>(B3-0.026)*B18</f>
        <v>3.8959999999999999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26" t="s">
        <v>88</v>
      </c>
      <c r="B24" s="19">
        <f>(B3-0.026)*B7</f>
        <v>0.97399999999999998</v>
      </c>
      <c r="C24" s="7"/>
      <c r="D24" s="12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(B3-0.002)*B18*2</f>
        <v>7.984</v>
      </c>
      <c r="C25" s="7"/>
      <c r="D25" s="12">
        <f t="shared" si="0"/>
        <v>0</v>
      </c>
    </row>
    <row r="26" spans="1:8" x14ac:dyDescent="0.2">
      <c r="A26" s="26" t="s">
        <v>197</v>
      </c>
      <c r="B26" s="19">
        <f>B18</f>
        <v>4</v>
      </c>
      <c r="C26" s="7"/>
      <c r="D26" s="12">
        <f t="shared" si="0"/>
        <v>0</v>
      </c>
    </row>
    <row r="27" spans="1:8" x14ac:dyDescent="0.2">
      <c r="A27" s="26" t="s">
        <v>26</v>
      </c>
      <c r="B27" s="19">
        <f>2*B8</f>
        <v>2</v>
      </c>
      <c r="C27" s="7"/>
      <c r="D27" s="12">
        <f t="shared" si="0"/>
        <v>0</v>
      </c>
    </row>
    <row r="28" spans="1:8" x14ac:dyDescent="0.2">
      <c r="A28" s="26" t="s">
        <v>19</v>
      </c>
      <c r="B28" s="19">
        <f>1*B6</f>
        <v>2</v>
      </c>
      <c r="C28" s="7"/>
      <c r="D28" s="12">
        <f t="shared" si="0"/>
        <v>0</v>
      </c>
    </row>
    <row r="29" spans="1:8" x14ac:dyDescent="0.2">
      <c r="A29" s="26" t="s">
        <v>61</v>
      </c>
      <c r="B29" s="19">
        <f>1*(B7+B8)</f>
        <v>2</v>
      </c>
      <c r="C29" s="7"/>
      <c r="D29" s="12">
        <f t="shared" si="0"/>
        <v>0</v>
      </c>
    </row>
    <row r="30" spans="1:8" x14ac:dyDescent="0.2">
      <c r="A30" s="26" t="s">
        <v>169</v>
      </c>
      <c r="B30" s="19">
        <f>2*B6</f>
        <v>4</v>
      </c>
      <c r="C30" s="7"/>
      <c r="D30" s="12">
        <f t="shared" si="0"/>
        <v>0</v>
      </c>
    </row>
    <row r="31" spans="1:8" x14ac:dyDescent="0.2">
      <c r="A31" s="26" t="s">
        <v>62</v>
      </c>
      <c r="B31" s="19">
        <f>2*(B7+B8)</f>
        <v>4</v>
      </c>
      <c r="C31" s="7"/>
      <c r="D31" s="12">
        <f t="shared" si="0"/>
        <v>0</v>
      </c>
    </row>
    <row r="32" spans="1:8" x14ac:dyDescent="0.2">
      <c r="A32" s="26" t="s">
        <v>68</v>
      </c>
      <c r="B32" s="19">
        <f>2*B7</f>
        <v>2</v>
      </c>
      <c r="C32" s="7"/>
      <c r="D32" s="12">
        <f t="shared" si="0"/>
        <v>0</v>
      </c>
    </row>
    <row r="33" spans="1:5" x14ac:dyDescent="0.2">
      <c r="A33" s="26" t="s">
        <v>21</v>
      </c>
      <c r="B33" s="19">
        <f>B17*2*B18</f>
        <v>32</v>
      </c>
      <c r="C33" s="7"/>
      <c r="D33" s="12">
        <f t="shared" si="0"/>
        <v>0</v>
      </c>
    </row>
    <row r="34" spans="1:5" x14ac:dyDescent="0.2">
      <c r="A34" s="26" t="s">
        <v>112</v>
      </c>
      <c r="B34" s="19">
        <f>1*(B7+B8)</f>
        <v>2</v>
      </c>
      <c r="C34" s="7"/>
      <c r="D34" s="12">
        <f t="shared" si="0"/>
        <v>0</v>
      </c>
    </row>
    <row r="35" spans="1:5" x14ac:dyDescent="0.2">
      <c r="A35" s="26" t="s">
        <v>56</v>
      </c>
      <c r="B35" s="19">
        <f>B6</f>
        <v>2</v>
      </c>
      <c r="C35" s="7"/>
      <c r="D35" s="12">
        <f t="shared" si="0"/>
        <v>0</v>
      </c>
    </row>
    <row r="36" spans="1:5" x14ac:dyDescent="0.2">
      <c r="A36" s="26" t="s">
        <v>63</v>
      </c>
      <c r="B36" s="19">
        <f>B7+B8</f>
        <v>2</v>
      </c>
      <c r="C36" s="7"/>
      <c r="D36" s="12">
        <f t="shared" si="0"/>
        <v>0</v>
      </c>
    </row>
    <row r="37" spans="1:5" x14ac:dyDescent="0.2">
      <c r="A37" s="20" t="s">
        <v>52</v>
      </c>
      <c r="B37" s="19">
        <f>(B4*B17+B17*B3+0.2)*B18</f>
        <v>32.799999999999997</v>
      </c>
      <c r="C37" s="7"/>
      <c r="D37" s="12">
        <f t="shared" si="0"/>
        <v>0</v>
      </c>
      <c r="E37" s="15"/>
    </row>
    <row r="38" spans="1:5" x14ac:dyDescent="0.2">
      <c r="A38" s="20" t="s">
        <v>64</v>
      </c>
      <c r="B38" s="19">
        <f>(2*B4*B3+0.2)*B18</f>
        <v>8.8000000000000007</v>
      </c>
      <c r="C38" s="7"/>
      <c r="D38" s="12">
        <f t="shared" si="0"/>
        <v>0</v>
      </c>
      <c r="E38" s="15"/>
    </row>
    <row r="39" spans="1:5" x14ac:dyDescent="0.2">
      <c r="A39" s="70" t="s">
        <v>278</v>
      </c>
      <c r="B39" s="107">
        <f>IF(B15=1,B4*2*B18,0)</f>
        <v>0</v>
      </c>
      <c r="C39" s="7"/>
      <c r="D39" s="112">
        <f t="shared" si="0"/>
        <v>0</v>
      </c>
      <c r="E39" s="15"/>
    </row>
    <row r="40" spans="1:5" x14ac:dyDescent="0.2">
      <c r="A40" s="70" t="s">
        <v>213</v>
      </c>
      <c r="B40" s="19">
        <f>B5*B18</f>
        <v>2</v>
      </c>
      <c r="C40" s="7"/>
      <c r="D40" s="12">
        <f>B40*C40</f>
        <v>0</v>
      </c>
      <c r="E40" s="15"/>
    </row>
    <row r="41" spans="1:5" ht="12" thickBot="1" x14ac:dyDescent="0.25">
      <c r="A41" s="162"/>
      <c r="B41" s="163"/>
      <c r="C41" s="163"/>
      <c r="D41" s="164"/>
    </row>
    <row r="42" spans="1:5" ht="12.75" x14ac:dyDescent="0.2">
      <c r="A42" s="174" t="s">
        <v>14</v>
      </c>
      <c r="B42" s="175"/>
      <c r="C42" s="175"/>
      <c r="D42" s="176"/>
    </row>
    <row r="43" spans="1:5" x14ac:dyDescent="0.2">
      <c r="A43" s="26" t="s">
        <v>34</v>
      </c>
      <c r="B43" s="16">
        <f>IF(B10=1,H76,IF(B14=1,H76,IF(B11=1,H76,IF(B12=1,H76,0))))</f>
        <v>2</v>
      </c>
      <c r="C43" s="7"/>
      <c r="D43" s="12">
        <f t="shared" si="0"/>
        <v>0</v>
      </c>
      <c r="E43" s="15"/>
    </row>
    <row r="44" spans="1:5" x14ac:dyDescent="0.2">
      <c r="A44" s="26" t="s">
        <v>201</v>
      </c>
      <c r="B44" s="16">
        <f>IF(B10=1,2*B8,IF(B11=1,2*B8,IF(B12=1,2*B8,0)))</f>
        <v>2</v>
      </c>
      <c r="C44" s="7"/>
      <c r="D44" s="62">
        <f t="shared" ref="D44" si="1">B44*C44</f>
        <v>0</v>
      </c>
      <c r="E44" s="15"/>
    </row>
    <row r="45" spans="1:5" x14ac:dyDescent="0.2">
      <c r="A45" s="26" t="s">
        <v>35</v>
      </c>
      <c r="B45" s="16">
        <f>IF(B11=1,G76+H76,0)</f>
        <v>22</v>
      </c>
      <c r="C45" s="7"/>
      <c r="D45" s="12">
        <f t="shared" si="0"/>
        <v>0</v>
      </c>
      <c r="E45" s="15"/>
    </row>
    <row r="46" spans="1:5" x14ac:dyDescent="0.2">
      <c r="A46" s="26" t="s">
        <v>36</v>
      </c>
      <c r="B46" s="16">
        <f>IF(B11=1,(G76),0)</f>
        <v>20</v>
      </c>
      <c r="C46" s="7"/>
      <c r="D46" s="12">
        <f>B60*C46</f>
        <v>0</v>
      </c>
    </row>
    <row r="47" spans="1:5" x14ac:dyDescent="0.2">
      <c r="A47" s="26" t="s">
        <v>37</v>
      </c>
      <c r="B47" s="16">
        <f>IF(B12=1,H76,0)</f>
        <v>0</v>
      </c>
      <c r="C47" s="7"/>
      <c r="D47" s="12">
        <f t="shared" si="0"/>
        <v>0</v>
      </c>
    </row>
    <row r="48" spans="1:5" x14ac:dyDescent="0.2">
      <c r="A48" s="26" t="s">
        <v>38</v>
      </c>
      <c r="B48" s="16">
        <f>IF(B12=1,G76,0)</f>
        <v>0</v>
      </c>
      <c r="C48" s="7"/>
      <c r="D48" s="12">
        <f>B48*C48</f>
        <v>0</v>
      </c>
    </row>
    <row r="49" spans="1:4" x14ac:dyDescent="0.2">
      <c r="A49" s="26" t="s">
        <v>39</v>
      </c>
      <c r="B49" s="16">
        <f>IF(B10=1,(G76),IF(B11=1,0,IF(B13=1,(G76),IF(B14=1,G76,0))))</f>
        <v>0</v>
      </c>
      <c r="C49" s="7"/>
      <c r="D49" s="12">
        <f t="shared" si="0"/>
        <v>0</v>
      </c>
    </row>
    <row r="50" spans="1:4" x14ac:dyDescent="0.2">
      <c r="A50" s="26" t="s">
        <v>33</v>
      </c>
      <c r="B50" s="16">
        <f>(IF(B11=1,G76,0))</f>
        <v>20</v>
      </c>
      <c r="C50" s="7"/>
      <c r="D50" s="12">
        <f t="shared" si="0"/>
        <v>0</v>
      </c>
    </row>
    <row r="51" spans="1:4" x14ac:dyDescent="0.2">
      <c r="A51" s="26" t="s">
        <v>40</v>
      </c>
      <c r="B51" s="16">
        <f>IF(B13=1,G76,0)</f>
        <v>0</v>
      </c>
      <c r="C51" s="7"/>
      <c r="D51" s="12">
        <f t="shared" si="0"/>
        <v>0</v>
      </c>
    </row>
    <row r="52" spans="1:4" x14ac:dyDescent="0.2">
      <c r="A52" s="26" t="s">
        <v>41</v>
      </c>
      <c r="B52" s="16">
        <f>IF(B13=1,1*H76/2,0)</f>
        <v>0</v>
      </c>
      <c r="C52" s="7"/>
      <c r="D52" s="12">
        <f t="shared" si="0"/>
        <v>0</v>
      </c>
    </row>
    <row r="53" spans="1:4" x14ac:dyDescent="0.2">
      <c r="A53" s="26" t="s">
        <v>32</v>
      </c>
      <c r="B53" s="16">
        <f>B52*2+B51</f>
        <v>0</v>
      </c>
      <c r="C53" s="7"/>
      <c r="D53" s="12">
        <f t="shared" si="0"/>
        <v>0</v>
      </c>
    </row>
    <row r="54" spans="1:4" x14ac:dyDescent="0.2">
      <c r="A54" s="26" t="s">
        <v>42</v>
      </c>
      <c r="B54" s="23">
        <f>IF(B11=1,H76,IF(B12=1,H76,IF(B14=1,H76,0)))</f>
        <v>2</v>
      </c>
      <c r="C54" s="7"/>
      <c r="D54" s="12">
        <f t="shared" si="0"/>
        <v>0</v>
      </c>
    </row>
    <row r="55" spans="1:4" x14ac:dyDescent="0.2">
      <c r="A55" s="26" t="s">
        <v>135</v>
      </c>
      <c r="B55" s="16">
        <f>B54</f>
        <v>2</v>
      </c>
      <c r="C55" s="7"/>
      <c r="D55" s="12">
        <f t="shared" si="0"/>
        <v>0</v>
      </c>
    </row>
    <row r="56" spans="1:4" x14ac:dyDescent="0.2">
      <c r="A56" s="26" t="s">
        <v>202</v>
      </c>
      <c r="B56" s="23">
        <f>IF(B11=1,G76,IF(B13=1,G76,0))</f>
        <v>20</v>
      </c>
      <c r="C56" s="3"/>
      <c r="D56" s="12">
        <f t="shared" si="0"/>
        <v>0</v>
      </c>
    </row>
    <row r="57" spans="1:4" x14ac:dyDescent="0.2">
      <c r="A57" s="26" t="s">
        <v>43</v>
      </c>
      <c r="B57" s="23">
        <f>B51*2*B18+B52*2</f>
        <v>0</v>
      </c>
      <c r="C57" s="7"/>
      <c r="D57" s="12">
        <f t="shared" si="0"/>
        <v>0</v>
      </c>
    </row>
    <row r="58" spans="1:4" x14ac:dyDescent="0.2">
      <c r="A58" s="26" t="s">
        <v>44</v>
      </c>
      <c r="B58" s="23">
        <f>B52*2</f>
        <v>0</v>
      </c>
      <c r="C58" s="7"/>
      <c r="D58" s="12">
        <f t="shared" si="0"/>
        <v>0</v>
      </c>
    </row>
    <row r="59" spans="1:4" x14ac:dyDescent="0.2">
      <c r="A59" s="26" t="s">
        <v>45</v>
      </c>
      <c r="B59" s="16">
        <f>IF(B10=1,B43,0)</f>
        <v>0</v>
      </c>
      <c r="C59" s="7"/>
      <c r="D59" s="12">
        <f>B59*C59</f>
        <v>0</v>
      </c>
    </row>
    <row r="60" spans="1:4" ht="12" thickBot="1" x14ac:dyDescent="0.25">
      <c r="A60" s="27" t="s">
        <v>46</v>
      </c>
      <c r="B60" s="17">
        <f>IF(B14=1,G76+H76,0)</f>
        <v>0</v>
      </c>
      <c r="C60" s="11"/>
      <c r="D60" s="13">
        <f t="shared" si="0"/>
        <v>0</v>
      </c>
    </row>
    <row r="61" spans="1:4" ht="12" thickBot="1" x14ac:dyDescent="0.25">
      <c r="A61" s="162"/>
      <c r="B61" s="163"/>
      <c r="C61" s="163"/>
      <c r="D61" s="164"/>
    </row>
    <row r="62" spans="1:4" ht="12.75" x14ac:dyDescent="0.2">
      <c r="A62" s="159" t="s">
        <v>67</v>
      </c>
      <c r="B62" s="160"/>
      <c r="C62" s="160"/>
      <c r="D62" s="203"/>
    </row>
    <row r="63" spans="1:4" x14ac:dyDescent="0.2">
      <c r="A63" s="26" t="s">
        <v>50</v>
      </c>
      <c r="B63" s="16">
        <v>1</v>
      </c>
      <c r="C63" s="7"/>
      <c r="D63" s="12">
        <f t="shared" si="0"/>
        <v>0</v>
      </c>
    </row>
    <row r="64" spans="1:4" ht="12" thickBot="1" x14ac:dyDescent="0.25">
      <c r="A64" s="27" t="s">
        <v>51</v>
      </c>
      <c r="B64" s="17">
        <v>1</v>
      </c>
      <c r="C64" s="11"/>
      <c r="D64" s="13">
        <f t="shared" si="0"/>
        <v>0</v>
      </c>
    </row>
    <row r="65" spans="3:8" x14ac:dyDescent="0.2">
      <c r="C65" s="2" t="s">
        <v>7</v>
      </c>
      <c r="D65" s="2">
        <f>SUM(D21:D64)</f>
        <v>0</v>
      </c>
    </row>
    <row r="71" spans="3:8" ht="12" thickBot="1" x14ac:dyDescent="0.25">
      <c r="F71" s="213" t="s">
        <v>9</v>
      </c>
      <c r="G71" s="213"/>
      <c r="H71" s="213"/>
    </row>
    <row r="72" spans="3:8" x14ac:dyDescent="0.2">
      <c r="F72" s="210" t="s">
        <v>70</v>
      </c>
      <c r="G72" s="211"/>
      <c r="H72" s="212"/>
    </row>
    <row r="73" spans="3:8" x14ac:dyDescent="0.2">
      <c r="F73" s="39">
        <f>B17</f>
        <v>4</v>
      </c>
      <c r="G73" s="6">
        <f>F73*B6</f>
        <v>8</v>
      </c>
      <c r="H73" s="1">
        <v>0</v>
      </c>
    </row>
    <row r="74" spans="3:8" x14ac:dyDescent="0.2">
      <c r="F74" s="39">
        <f>B17*2</f>
        <v>8</v>
      </c>
      <c r="G74" s="6">
        <f>F74*B7</f>
        <v>8</v>
      </c>
      <c r="H74" s="1">
        <v>0</v>
      </c>
    </row>
    <row r="75" spans="3:8" ht="12" thickBot="1" x14ac:dyDescent="0.25">
      <c r="F75" s="40">
        <f>B17</f>
        <v>4</v>
      </c>
      <c r="G75" s="36">
        <f>F75*B8</f>
        <v>4</v>
      </c>
      <c r="H75" s="41">
        <f>2*B8</f>
        <v>2</v>
      </c>
    </row>
    <row r="76" spans="3:8" ht="12" thickBot="1" x14ac:dyDescent="0.25">
      <c r="F76" s="37">
        <f>SUM(F73:F75)</f>
        <v>16</v>
      </c>
      <c r="G76" s="38">
        <f>SUM(G73:G75)</f>
        <v>20</v>
      </c>
      <c r="H76" s="38">
        <f>SUM(H73:H75)</f>
        <v>2</v>
      </c>
    </row>
    <row r="77" spans="3:8" x14ac:dyDescent="0.2">
      <c r="F77" s="42" t="s">
        <v>66</v>
      </c>
      <c r="G77" s="42" t="s">
        <v>74</v>
      </c>
      <c r="H77" s="42" t="s">
        <v>69</v>
      </c>
    </row>
  </sheetData>
  <mergeCells count="25">
    <mergeCell ref="C14:D14"/>
    <mergeCell ref="C6:D6"/>
    <mergeCell ref="C7:D7"/>
    <mergeCell ref="C8:D8"/>
    <mergeCell ref="A1:D1"/>
    <mergeCell ref="A2:D2"/>
    <mergeCell ref="C3:D3"/>
    <mergeCell ref="C4:D4"/>
    <mergeCell ref="C5:D5"/>
    <mergeCell ref="C15:D15"/>
    <mergeCell ref="F72:H72"/>
    <mergeCell ref="A9:D9"/>
    <mergeCell ref="C10:D10"/>
    <mergeCell ref="C11:D11"/>
    <mergeCell ref="A41:D41"/>
    <mergeCell ref="A42:D42"/>
    <mergeCell ref="C17:D17"/>
    <mergeCell ref="F71:H71"/>
    <mergeCell ref="A61:D61"/>
    <mergeCell ref="A62:D62"/>
    <mergeCell ref="A19:D19"/>
    <mergeCell ref="C18:D18"/>
    <mergeCell ref="A16:D16"/>
    <mergeCell ref="C12:D12"/>
    <mergeCell ref="C13:D1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2" zoomScale="115" zoomScaleNormal="100" workbookViewId="0">
      <selection activeCell="A41" sqref="A41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97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5">
        <v>1</v>
      </c>
      <c r="C3" s="220" t="s">
        <v>10</v>
      </c>
      <c r="D3" s="171"/>
    </row>
    <row r="4" spans="1:8" x14ac:dyDescent="0.2">
      <c r="A4" s="137" t="s">
        <v>54</v>
      </c>
      <c r="B4" s="22">
        <v>1</v>
      </c>
      <c r="C4" s="221" t="s">
        <v>10</v>
      </c>
      <c r="D4" s="182"/>
    </row>
    <row r="5" spans="1:8" ht="12" thickBot="1" x14ac:dyDescent="0.25">
      <c r="A5" s="138" t="s">
        <v>53</v>
      </c>
      <c r="B5" s="31">
        <v>1</v>
      </c>
      <c r="C5" s="222" t="s">
        <v>10</v>
      </c>
      <c r="D5" s="173"/>
    </row>
    <row r="6" spans="1:8" x14ac:dyDescent="0.2">
      <c r="A6" s="125" t="s">
        <v>89</v>
      </c>
      <c r="B6" s="29">
        <v>1</v>
      </c>
      <c r="C6" s="217" t="s">
        <v>10</v>
      </c>
      <c r="D6" s="218"/>
      <c r="H6" s="14"/>
    </row>
    <row r="7" spans="1:8" x14ac:dyDescent="0.2">
      <c r="A7" s="126" t="s">
        <v>147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27" t="s">
        <v>90</v>
      </c>
      <c r="B8" s="30">
        <v>1</v>
      </c>
      <c r="C8" s="201" t="s">
        <v>10</v>
      </c>
      <c r="D8" s="202"/>
      <c r="H8" s="14"/>
    </row>
    <row r="9" spans="1:8" ht="12" thickBot="1" x14ac:dyDescent="0.25">
      <c r="A9" s="179" t="s">
        <v>14</v>
      </c>
      <c r="B9" s="179"/>
      <c r="C9" s="179"/>
      <c r="D9" s="179"/>
      <c r="H9" s="14"/>
    </row>
    <row r="10" spans="1:8" x14ac:dyDescent="0.2">
      <c r="A10" s="125" t="s">
        <v>29</v>
      </c>
      <c r="B10" s="29">
        <v>0</v>
      </c>
      <c r="C10" s="180" t="s">
        <v>11</v>
      </c>
      <c r="D10" s="154"/>
      <c r="H10" s="14"/>
    </row>
    <row r="11" spans="1:8" x14ac:dyDescent="0.2">
      <c r="A11" s="126" t="s">
        <v>31</v>
      </c>
      <c r="B11" s="28">
        <v>0</v>
      </c>
      <c r="C11" s="183" t="s">
        <v>11</v>
      </c>
      <c r="D11" s="184"/>
      <c r="F11" s="14"/>
      <c r="G11" s="14"/>
      <c r="H11" s="14"/>
    </row>
    <row r="12" spans="1:8" x14ac:dyDescent="0.2">
      <c r="A12" s="126" t="s">
        <v>30</v>
      </c>
      <c r="B12" s="24">
        <v>0</v>
      </c>
      <c r="C12" s="181" t="s">
        <v>11</v>
      </c>
      <c r="D12" s="182"/>
      <c r="F12" s="14"/>
      <c r="G12" s="14"/>
      <c r="H12" s="14"/>
    </row>
    <row r="13" spans="1:8" x14ac:dyDescent="0.2">
      <c r="A13" s="126" t="s">
        <v>28</v>
      </c>
      <c r="B13" s="28">
        <v>0</v>
      </c>
      <c r="C13" s="183" t="s">
        <v>11</v>
      </c>
      <c r="D13" s="184"/>
      <c r="F13" s="14"/>
      <c r="G13" s="14"/>
      <c r="H13" s="14"/>
    </row>
    <row r="14" spans="1:8" x14ac:dyDescent="0.2">
      <c r="A14" s="126" t="s">
        <v>15</v>
      </c>
      <c r="B14" s="24">
        <v>1</v>
      </c>
      <c r="C14" s="181" t="s">
        <v>11</v>
      </c>
      <c r="D14" s="182"/>
      <c r="F14" s="14"/>
      <c r="G14" s="14"/>
      <c r="H14" s="14"/>
    </row>
    <row r="15" spans="1:8" ht="12" thickBot="1" x14ac:dyDescent="0.25">
      <c r="A15" s="139" t="s">
        <v>278</v>
      </c>
      <c r="B15" s="142">
        <v>1</v>
      </c>
      <c r="C15" s="223" t="s">
        <v>11</v>
      </c>
      <c r="D15" s="224"/>
      <c r="F15" s="14"/>
      <c r="G15" s="14"/>
      <c r="H15" s="14"/>
    </row>
    <row r="16" spans="1:8" ht="12" thickBot="1" x14ac:dyDescent="0.25">
      <c r="A16" s="214"/>
      <c r="B16" s="215"/>
      <c r="C16" s="215"/>
      <c r="D16" s="216"/>
      <c r="F16" s="14"/>
      <c r="G16" s="14"/>
      <c r="H16" s="14"/>
    </row>
    <row r="17" spans="1:8" x14ac:dyDescent="0.2">
      <c r="A17" s="32" t="s">
        <v>13</v>
      </c>
      <c r="B17" s="33">
        <f>CEILING((B3-0.1)/0.4,1)+1</f>
        <v>4</v>
      </c>
      <c r="C17" s="149" t="s">
        <v>9</v>
      </c>
      <c r="D17" s="150"/>
      <c r="E17" s="15"/>
      <c r="F17" s="14"/>
      <c r="G17" s="14"/>
      <c r="H17" s="14"/>
    </row>
    <row r="18" spans="1:8" ht="12" thickBot="1" x14ac:dyDescent="0.25">
      <c r="A18" s="34" t="s">
        <v>59</v>
      </c>
      <c r="B18" s="35">
        <f>SUM(B6:B8)</f>
        <v>3</v>
      </c>
      <c r="C18" s="185" t="s">
        <v>9</v>
      </c>
      <c r="D18" s="186"/>
      <c r="E18" s="15"/>
      <c r="F18" s="14"/>
      <c r="G18" s="14"/>
      <c r="H18" s="14"/>
    </row>
    <row r="19" spans="1:8" ht="12" thickBot="1" x14ac:dyDescent="0.25">
      <c r="A19" s="207"/>
      <c r="B19" s="207"/>
      <c r="C19" s="207"/>
      <c r="D19" s="207"/>
      <c r="F19" s="14"/>
      <c r="G19" s="14"/>
      <c r="H19" s="14"/>
    </row>
    <row r="20" spans="1:8" ht="12.75" x14ac:dyDescent="0.2">
      <c r="A20" s="109" t="s">
        <v>5</v>
      </c>
      <c r="B20" s="110" t="s">
        <v>0</v>
      </c>
      <c r="C20" s="9" t="s">
        <v>3</v>
      </c>
      <c r="D20" s="111" t="s">
        <v>6</v>
      </c>
      <c r="F20" s="14"/>
      <c r="G20" s="14"/>
      <c r="H20" s="14"/>
    </row>
    <row r="21" spans="1:8" x14ac:dyDescent="0.2">
      <c r="A21" s="26" t="s">
        <v>16</v>
      </c>
      <c r="B21" s="18">
        <f>((B3-0.07)*B18)*2</f>
        <v>5.58</v>
      </c>
      <c r="C21" s="3"/>
      <c r="D21" s="1">
        <f t="shared" ref="D21:D41" si="0">B21*C21</f>
        <v>0</v>
      </c>
      <c r="F21" s="14"/>
      <c r="G21" s="14"/>
      <c r="H21" s="14"/>
    </row>
    <row r="22" spans="1:8" x14ac:dyDescent="0.2">
      <c r="A22" s="26" t="s">
        <v>17</v>
      </c>
      <c r="B22" s="18">
        <f>((B3-0.007)*B18)*2</f>
        <v>5.9580000000000002</v>
      </c>
      <c r="C22" s="3"/>
      <c r="D22" s="1">
        <f t="shared" si="0"/>
        <v>0</v>
      </c>
      <c r="F22" s="14"/>
      <c r="G22" s="14"/>
      <c r="H22" s="14"/>
    </row>
    <row r="23" spans="1:8" x14ac:dyDescent="0.2">
      <c r="A23" s="26" t="s">
        <v>18</v>
      </c>
      <c r="B23" s="19">
        <f>(B3-0.026*2)*B18</f>
        <v>2.8439999999999999</v>
      </c>
      <c r="C23" s="7"/>
      <c r="D23" s="112">
        <f t="shared" si="0"/>
        <v>0</v>
      </c>
      <c r="F23" s="14"/>
      <c r="G23" s="14"/>
      <c r="H23" s="14"/>
    </row>
    <row r="24" spans="1:8" x14ac:dyDescent="0.2">
      <c r="A24" s="26" t="s">
        <v>88</v>
      </c>
      <c r="B24" s="19">
        <f>(B3-0.026)*B7</f>
        <v>0.97399999999999998</v>
      </c>
      <c r="C24" s="7"/>
      <c r="D24" s="112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(B3-0.002)*B18*2</f>
        <v>5.9879999999999995</v>
      </c>
      <c r="C25" s="7"/>
      <c r="D25" s="112">
        <f t="shared" si="0"/>
        <v>0</v>
      </c>
    </row>
    <row r="26" spans="1:8" x14ac:dyDescent="0.2">
      <c r="A26" s="26" t="s">
        <v>197</v>
      </c>
      <c r="B26" s="19">
        <f>B18*2</f>
        <v>6</v>
      </c>
      <c r="C26" s="7"/>
      <c r="D26" s="112">
        <f t="shared" si="0"/>
        <v>0</v>
      </c>
    </row>
    <row r="27" spans="1:8" x14ac:dyDescent="0.2">
      <c r="A27" s="26" t="s">
        <v>26</v>
      </c>
      <c r="B27" s="19">
        <f>2*B8</f>
        <v>2</v>
      </c>
      <c r="C27" s="7"/>
      <c r="D27" s="112">
        <f t="shared" si="0"/>
        <v>0</v>
      </c>
    </row>
    <row r="28" spans="1:8" x14ac:dyDescent="0.2">
      <c r="A28" s="26" t="s">
        <v>94</v>
      </c>
      <c r="B28" s="19">
        <f>B6*4</f>
        <v>4</v>
      </c>
      <c r="C28" s="7"/>
      <c r="D28" s="112">
        <f>B28*C28</f>
        <v>0</v>
      </c>
    </row>
    <row r="29" spans="1:8" x14ac:dyDescent="0.2">
      <c r="A29" s="26" t="s">
        <v>62</v>
      </c>
      <c r="B29" s="19">
        <f>2*(B7+B8)*2</f>
        <v>8</v>
      </c>
      <c r="C29" s="7"/>
      <c r="D29" s="112">
        <f t="shared" si="0"/>
        <v>0</v>
      </c>
    </row>
    <row r="30" spans="1:8" x14ac:dyDescent="0.2">
      <c r="A30" s="26" t="s">
        <v>68</v>
      </c>
      <c r="B30" s="19">
        <f>2*B7</f>
        <v>2</v>
      </c>
      <c r="C30" s="7"/>
      <c r="D30" s="112">
        <f t="shared" si="0"/>
        <v>0</v>
      </c>
    </row>
    <row r="31" spans="1:8" x14ac:dyDescent="0.2">
      <c r="A31" s="26" t="s">
        <v>93</v>
      </c>
      <c r="B31" s="19">
        <f>(B6+B8)*B17</f>
        <v>8</v>
      </c>
      <c r="C31" s="7"/>
      <c r="D31" s="112">
        <f t="shared" si="0"/>
        <v>0</v>
      </c>
    </row>
    <row r="32" spans="1:8" x14ac:dyDescent="0.2">
      <c r="A32" s="26" t="s">
        <v>21</v>
      </c>
      <c r="B32" s="19">
        <f>B17*3*B18</f>
        <v>36</v>
      </c>
      <c r="C32" s="7"/>
      <c r="D32" s="112">
        <f t="shared" si="0"/>
        <v>0</v>
      </c>
    </row>
    <row r="33" spans="1:5" x14ac:dyDescent="0.2">
      <c r="A33" s="26" t="s">
        <v>65</v>
      </c>
      <c r="B33" s="19">
        <f>1*(B7+B8)</f>
        <v>2</v>
      </c>
      <c r="C33" s="7"/>
      <c r="D33" s="112">
        <f t="shared" si="0"/>
        <v>0</v>
      </c>
    </row>
    <row r="34" spans="1:5" x14ac:dyDescent="0.2">
      <c r="A34" s="26" t="s">
        <v>92</v>
      </c>
      <c r="B34" s="19">
        <f>B6</f>
        <v>1</v>
      </c>
      <c r="C34" s="7"/>
      <c r="D34" s="112">
        <f t="shared" si="0"/>
        <v>0</v>
      </c>
    </row>
    <row r="35" spans="1:5" x14ac:dyDescent="0.2">
      <c r="A35" s="26" t="s">
        <v>91</v>
      </c>
      <c r="B35" s="19">
        <f>B6</f>
        <v>1</v>
      </c>
      <c r="C35" s="7"/>
      <c r="D35" s="112">
        <f t="shared" si="0"/>
        <v>0</v>
      </c>
    </row>
    <row r="36" spans="1:5" x14ac:dyDescent="0.2">
      <c r="A36" s="26" t="s">
        <v>95</v>
      </c>
      <c r="B36" s="19">
        <f>B7+B8</f>
        <v>2</v>
      </c>
      <c r="C36" s="7"/>
      <c r="D36" s="112">
        <f t="shared" si="0"/>
        <v>0</v>
      </c>
    </row>
    <row r="37" spans="1:5" x14ac:dyDescent="0.2">
      <c r="A37" s="26" t="s">
        <v>96</v>
      </c>
      <c r="B37" s="19">
        <f>B7+B8</f>
        <v>2</v>
      </c>
      <c r="C37" s="7"/>
      <c r="D37" s="112">
        <f t="shared" si="0"/>
        <v>0</v>
      </c>
    </row>
    <row r="38" spans="1:5" x14ac:dyDescent="0.2">
      <c r="A38" s="20" t="s">
        <v>52</v>
      </c>
      <c r="B38" s="19">
        <f>(B17*2*B4+B17*2*B3+0.2)*B18</f>
        <v>48.599999999999994</v>
      </c>
      <c r="C38" s="7"/>
      <c r="D38" s="112">
        <f t="shared" si="0"/>
        <v>0</v>
      </c>
      <c r="E38" s="15"/>
    </row>
    <row r="39" spans="1:5" x14ac:dyDescent="0.2">
      <c r="A39" s="20" t="s">
        <v>213</v>
      </c>
      <c r="B39" s="19">
        <f>B5*B18*2</f>
        <v>6</v>
      </c>
      <c r="C39" s="7"/>
      <c r="D39" s="112">
        <f t="shared" si="0"/>
        <v>0</v>
      </c>
      <c r="E39" s="15"/>
    </row>
    <row r="40" spans="1:5" x14ac:dyDescent="0.2">
      <c r="A40" s="26" t="s">
        <v>12</v>
      </c>
      <c r="B40" s="19">
        <f>4*B18</f>
        <v>12</v>
      </c>
      <c r="C40" s="7"/>
      <c r="D40" s="112">
        <f t="shared" si="0"/>
        <v>0</v>
      </c>
    </row>
    <row r="41" spans="1:5" x14ac:dyDescent="0.2">
      <c r="A41" s="26" t="s">
        <v>278</v>
      </c>
      <c r="B41" s="19">
        <f>IF(B15=1,B4*2*B18,0)</f>
        <v>6</v>
      </c>
      <c r="C41" s="7"/>
      <c r="D41" s="112">
        <f t="shared" si="0"/>
        <v>0</v>
      </c>
    </row>
    <row r="42" spans="1:5" ht="12" thickBot="1" x14ac:dyDescent="0.25">
      <c r="A42" s="194"/>
      <c r="B42" s="195"/>
      <c r="C42" s="195"/>
      <c r="D42" s="196"/>
    </row>
    <row r="43" spans="1:5" ht="12.75" x14ac:dyDescent="0.2">
      <c r="A43" s="174" t="s">
        <v>14</v>
      </c>
      <c r="B43" s="175"/>
      <c r="C43" s="175"/>
      <c r="D43" s="176"/>
    </row>
    <row r="44" spans="1:5" x14ac:dyDescent="0.2">
      <c r="A44" s="26" t="s">
        <v>34</v>
      </c>
      <c r="B44" s="19">
        <f>IF(B10=1,H77,IF(B14=1,H77,IF(B11=1,H77,IF(B12=1,H77,0))))</f>
        <v>2</v>
      </c>
      <c r="C44" s="7"/>
      <c r="D44" s="12">
        <f>B44*C44</f>
        <v>0</v>
      </c>
      <c r="E44" s="15"/>
    </row>
    <row r="45" spans="1:5" x14ac:dyDescent="0.2">
      <c r="A45" s="26" t="s">
        <v>201</v>
      </c>
      <c r="B45" s="19">
        <f>IF(B10=1,2*B8,IF(B11=1,2*B8,IF(B12=1,2*B8,0)))</f>
        <v>0</v>
      </c>
      <c r="C45" s="7"/>
      <c r="D45" s="62">
        <f>B45*C45</f>
        <v>0</v>
      </c>
      <c r="E45" s="15"/>
    </row>
    <row r="46" spans="1:5" x14ac:dyDescent="0.2">
      <c r="A46" s="26" t="s">
        <v>35</v>
      </c>
      <c r="B46" s="19">
        <f>IF(B11=1,G77+H77,0)</f>
        <v>0</v>
      </c>
      <c r="C46" s="7"/>
      <c r="D46" s="12">
        <f>B46*C46</f>
        <v>0</v>
      </c>
      <c r="E46" s="15"/>
    </row>
    <row r="47" spans="1:5" x14ac:dyDescent="0.2">
      <c r="A47" s="26" t="s">
        <v>36</v>
      </c>
      <c r="B47" s="19">
        <f>IF(B11=1,(G77),0)</f>
        <v>0</v>
      </c>
      <c r="C47" s="7"/>
      <c r="D47" s="12">
        <f>B61*C47</f>
        <v>0</v>
      </c>
    </row>
    <row r="48" spans="1:5" x14ac:dyDescent="0.2">
      <c r="A48" s="26" t="s">
        <v>37</v>
      </c>
      <c r="B48" s="19">
        <f>IF(B12=1,H77,0)</f>
        <v>0</v>
      </c>
      <c r="C48" s="7"/>
      <c r="D48" s="12">
        <f t="shared" ref="D48:D61" si="1">B48*C48</f>
        <v>0</v>
      </c>
    </row>
    <row r="49" spans="1:4" x14ac:dyDescent="0.2">
      <c r="A49" s="26" t="s">
        <v>38</v>
      </c>
      <c r="B49" s="19">
        <f>IF(B12=1,G77,0)</f>
        <v>0</v>
      </c>
      <c r="C49" s="7"/>
      <c r="D49" s="12">
        <f t="shared" si="1"/>
        <v>0</v>
      </c>
    </row>
    <row r="50" spans="1:4" x14ac:dyDescent="0.2">
      <c r="A50" s="26" t="s">
        <v>39</v>
      </c>
      <c r="B50" s="19">
        <f>IF(B10=1,(G77),IF(B11=1,0,IF(B13=1,(G77),IF(B14=1,G77,0))))</f>
        <v>16</v>
      </c>
      <c r="C50" s="7"/>
      <c r="D50" s="12">
        <f t="shared" si="1"/>
        <v>0</v>
      </c>
    </row>
    <row r="51" spans="1:4" x14ac:dyDescent="0.2">
      <c r="A51" s="26" t="s">
        <v>33</v>
      </c>
      <c r="B51" s="19">
        <f>(IF(B11=1,G77,0))</f>
        <v>0</v>
      </c>
      <c r="C51" s="7"/>
      <c r="D51" s="12">
        <f t="shared" si="1"/>
        <v>0</v>
      </c>
    </row>
    <row r="52" spans="1:4" x14ac:dyDescent="0.2">
      <c r="A52" s="26" t="s">
        <v>40</v>
      </c>
      <c r="B52" s="19">
        <f>IF(B13=1,G77,0)</f>
        <v>0</v>
      </c>
      <c r="C52" s="7"/>
      <c r="D52" s="12">
        <f t="shared" si="1"/>
        <v>0</v>
      </c>
    </row>
    <row r="53" spans="1:4" x14ac:dyDescent="0.2">
      <c r="A53" s="26" t="s">
        <v>41</v>
      </c>
      <c r="B53" s="19">
        <f>IF(B13=1,1*H77/2,0)</f>
        <v>0</v>
      </c>
      <c r="C53" s="7"/>
      <c r="D53" s="12">
        <f t="shared" si="1"/>
        <v>0</v>
      </c>
    </row>
    <row r="54" spans="1:4" x14ac:dyDescent="0.2">
      <c r="A54" s="26" t="s">
        <v>32</v>
      </c>
      <c r="B54" s="19">
        <f>B53*2+B52</f>
        <v>0</v>
      </c>
      <c r="C54" s="7"/>
      <c r="D54" s="12">
        <f t="shared" si="1"/>
        <v>0</v>
      </c>
    </row>
    <row r="55" spans="1:4" x14ac:dyDescent="0.2">
      <c r="A55" s="26" t="s">
        <v>42</v>
      </c>
      <c r="B55" s="23">
        <f>IF(B11=1,H77,IF(B12=1,H77,IF(B14=1,H77,0)))</f>
        <v>2</v>
      </c>
      <c r="C55" s="7"/>
      <c r="D55" s="12">
        <f t="shared" si="1"/>
        <v>0</v>
      </c>
    </row>
    <row r="56" spans="1:4" x14ac:dyDescent="0.2">
      <c r="A56" s="26" t="s">
        <v>135</v>
      </c>
      <c r="B56" s="19">
        <f>B55</f>
        <v>2</v>
      </c>
      <c r="C56" s="7"/>
      <c r="D56" s="12">
        <f t="shared" si="1"/>
        <v>0</v>
      </c>
    </row>
    <row r="57" spans="1:4" x14ac:dyDescent="0.2">
      <c r="A57" s="26" t="s">
        <v>202</v>
      </c>
      <c r="B57" s="23">
        <f>IF(B11=1,G77,IF(B13=1,G77,0))</f>
        <v>0</v>
      </c>
      <c r="C57" s="3"/>
      <c r="D57" s="12">
        <f t="shared" si="1"/>
        <v>0</v>
      </c>
    </row>
    <row r="58" spans="1:4" x14ac:dyDescent="0.2">
      <c r="A58" s="26" t="s">
        <v>43</v>
      </c>
      <c r="B58" s="23">
        <f>B52*2*B18+B53*2</f>
        <v>0</v>
      </c>
      <c r="C58" s="7"/>
      <c r="D58" s="12">
        <f t="shared" si="1"/>
        <v>0</v>
      </c>
    </row>
    <row r="59" spans="1:4" x14ac:dyDescent="0.2">
      <c r="A59" s="26" t="s">
        <v>44</v>
      </c>
      <c r="B59" s="23">
        <f>B53*2</f>
        <v>0</v>
      </c>
      <c r="C59" s="7"/>
      <c r="D59" s="12">
        <f t="shared" si="1"/>
        <v>0</v>
      </c>
    </row>
    <row r="60" spans="1:4" x14ac:dyDescent="0.2">
      <c r="A60" s="26" t="s">
        <v>45</v>
      </c>
      <c r="B60" s="19">
        <f>IF(B10=1,B44,0)</f>
        <v>0</v>
      </c>
      <c r="C60" s="7"/>
      <c r="D60" s="12">
        <f t="shared" si="1"/>
        <v>0</v>
      </c>
    </row>
    <row r="61" spans="1:4" ht="12" thickBot="1" x14ac:dyDescent="0.25">
      <c r="A61" s="27" t="s">
        <v>46</v>
      </c>
      <c r="B61" s="44">
        <f>IF(B14=1,G77+H77,0)</f>
        <v>18</v>
      </c>
      <c r="C61" s="11"/>
      <c r="D61" s="13">
        <f t="shared" si="1"/>
        <v>0</v>
      </c>
    </row>
    <row r="62" spans="1:4" ht="12" thickBot="1" x14ac:dyDescent="0.25">
      <c r="A62" s="162"/>
      <c r="B62" s="163"/>
      <c r="C62" s="163"/>
      <c r="D62" s="164"/>
    </row>
    <row r="63" spans="1:4" ht="12.75" x14ac:dyDescent="0.2">
      <c r="A63" s="159" t="s">
        <v>67</v>
      </c>
      <c r="B63" s="160"/>
      <c r="C63" s="160"/>
      <c r="D63" s="203"/>
    </row>
    <row r="64" spans="1:4" x14ac:dyDescent="0.2">
      <c r="A64" s="26" t="s">
        <v>50</v>
      </c>
      <c r="B64" s="19">
        <v>1</v>
      </c>
      <c r="C64" s="7"/>
      <c r="D64" s="12">
        <f>B64*C64</f>
        <v>0</v>
      </c>
    </row>
    <row r="65" spans="1:8" ht="12" thickBot="1" x14ac:dyDescent="0.25">
      <c r="A65" s="27" t="s">
        <v>51</v>
      </c>
      <c r="B65" s="44">
        <v>1</v>
      </c>
      <c r="C65" s="11"/>
      <c r="D65" s="13">
        <f>B65*C65</f>
        <v>0</v>
      </c>
    </row>
    <row r="66" spans="1:8" x14ac:dyDescent="0.2">
      <c r="C66" s="2" t="s">
        <v>7</v>
      </c>
      <c r="D66" s="2">
        <f>SUM(D21:D65)</f>
        <v>0</v>
      </c>
    </row>
    <row r="72" spans="1:8" ht="12" thickBot="1" x14ac:dyDescent="0.25">
      <c r="F72" s="213" t="s">
        <v>9</v>
      </c>
      <c r="G72" s="213"/>
      <c r="H72" s="213"/>
    </row>
    <row r="73" spans="1:8" x14ac:dyDescent="0.2">
      <c r="F73" s="210" t="s">
        <v>70</v>
      </c>
      <c r="G73" s="211"/>
      <c r="H73" s="212"/>
    </row>
    <row r="74" spans="1:8" x14ac:dyDescent="0.2">
      <c r="F74" s="39">
        <f>B17</f>
        <v>4</v>
      </c>
      <c r="G74" s="6">
        <f>F74*B6</f>
        <v>4</v>
      </c>
      <c r="H74" s="1">
        <v>0</v>
      </c>
    </row>
    <row r="75" spans="1:8" x14ac:dyDescent="0.2">
      <c r="F75" s="39">
        <f>B17*2</f>
        <v>8</v>
      </c>
      <c r="G75" s="6">
        <f>F75*B7</f>
        <v>8</v>
      </c>
      <c r="H75" s="1">
        <v>0</v>
      </c>
    </row>
    <row r="76" spans="1:8" ht="12" thickBot="1" x14ac:dyDescent="0.25">
      <c r="F76" s="40">
        <f>B17</f>
        <v>4</v>
      </c>
      <c r="G76" s="36">
        <f>F76*B8</f>
        <v>4</v>
      </c>
      <c r="H76" s="41">
        <f>2*B8</f>
        <v>2</v>
      </c>
    </row>
    <row r="77" spans="1:8" ht="12" thickBot="1" x14ac:dyDescent="0.25">
      <c r="F77" s="37">
        <f>SUM(F74:F76)</f>
        <v>16</v>
      </c>
      <c r="G77" s="38">
        <f>SUM(G74:G76)</f>
        <v>16</v>
      </c>
      <c r="H77" s="38">
        <f>SUM(H74:H76)</f>
        <v>2</v>
      </c>
    </row>
    <row r="78" spans="1:8" x14ac:dyDescent="0.2">
      <c r="F78" s="42" t="s">
        <v>66</v>
      </c>
      <c r="G78" s="42" t="s">
        <v>74</v>
      </c>
      <c r="H78" s="42" t="s">
        <v>69</v>
      </c>
    </row>
  </sheetData>
  <mergeCells count="25">
    <mergeCell ref="A63:D63"/>
    <mergeCell ref="C7:D7"/>
    <mergeCell ref="C8:D8"/>
    <mergeCell ref="C6:D6"/>
    <mergeCell ref="A1:D1"/>
    <mergeCell ref="A2:D2"/>
    <mergeCell ref="C3:D3"/>
    <mergeCell ref="C4:D4"/>
    <mergeCell ref="C5:D5"/>
    <mergeCell ref="C15:D15"/>
    <mergeCell ref="F73:H73"/>
    <mergeCell ref="A9:D9"/>
    <mergeCell ref="C10:D10"/>
    <mergeCell ref="C11:D11"/>
    <mergeCell ref="A42:D42"/>
    <mergeCell ref="A43:D43"/>
    <mergeCell ref="A19:D19"/>
    <mergeCell ref="C18:D18"/>
    <mergeCell ref="A16:D16"/>
    <mergeCell ref="C12:D12"/>
    <mergeCell ref="C13:D13"/>
    <mergeCell ref="C14:D14"/>
    <mergeCell ref="C17:D17"/>
    <mergeCell ref="F72:H72"/>
    <mergeCell ref="A62:D6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="115" zoomScaleNormal="100" workbookViewId="0">
      <selection activeCell="A10" sqref="A10:A14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98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5">
        <v>1</v>
      </c>
      <c r="C3" s="220" t="s">
        <v>10</v>
      </c>
      <c r="D3" s="171"/>
    </row>
    <row r="4" spans="1:8" x14ac:dyDescent="0.2">
      <c r="A4" s="137" t="s">
        <v>54</v>
      </c>
      <c r="B4" s="22">
        <v>1</v>
      </c>
      <c r="C4" s="221" t="s">
        <v>10</v>
      </c>
      <c r="D4" s="182"/>
    </row>
    <row r="5" spans="1:8" ht="12" thickBot="1" x14ac:dyDescent="0.25">
      <c r="A5" s="261" t="s">
        <v>53</v>
      </c>
      <c r="B5" s="50">
        <v>1</v>
      </c>
      <c r="C5" s="227" t="s">
        <v>10</v>
      </c>
      <c r="D5" s="228"/>
    </row>
    <row r="6" spans="1:8" x14ac:dyDescent="0.2">
      <c r="A6" s="262" t="s">
        <v>99</v>
      </c>
      <c r="B6" s="59">
        <v>1</v>
      </c>
      <c r="C6" s="225" t="s">
        <v>10</v>
      </c>
      <c r="D6" s="226"/>
      <c r="H6" s="14"/>
    </row>
    <row r="7" spans="1:8" x14ac:dyDescent="0.2">
      <c r="A7" s="126" t="s">
        <v>150</v>
      </c>
      <c r="B7" s="28">
        <v>1</v>
      </c>
      <c r="C7" s="197" t="s">
        <v>10</v>
      </c>
      <c r="D7" s="178"/>
      <c r="H7" s="14"/>
    </row>
    <row r="8" spans="1:8" ht="12" thickBot="1" x14ac:dyDescent="0.25">
      <c r="A8" s="127" t="s">
        <v>100</v>
      </c>
      <c r="B8" s="30">
        <v>1</v>
      </c>
      <c r="C8" s="201" t="s">
        <v>10</v>
      </c>
      <c r="D8" s="202"/>
      <c r="H8" s="14"/>
    </row>
    <row r="9" spans="1:8" ht="12" thickBot="1" x14ac:dyDescent="0.25">
      <c r="A9" s="179" t="s">
        <v>14</v>
      </c>
      <c r="B9" s="179"/>
      <c r="C9" s="179"/>
      <c r="D9" s="179"/>
      <c r="H9" s="14"/>
    </row>
    <row r="10" spans="1:8" x14ac:dyDescent="0.2">
      <c r="A10" s="125" t="s">
        <v>29</v>
      </c>
      <c r="B10" s="29">
        <v>0</v>
      </c>
      <c r="C10" s="180" t="s">
        <v>11</v>
      </c>
      <c r="D10" s="154"/>
      <c r="H10" s="14"/>
    </row>
    <row r="11" spans="1:8" x14ac:dyDescent="0.2">
      <c r="A11" s="126" t="s">
        <v>31</v>
      </c>
      <c r="B11" s="28">
        <v>0</v>
      </c>
      <c r="C11" s="183" t="s">
        <v>11</v>
      </c>
      <c r="D11" s="184"/>
      <c r="F11" s="14"/>
      <c r="G11" s="14"/>
      <c r="H11" s="14"/>
    </row>
    <row r="12" spans="1:8" x14ac:dyDescent="0.2">
      <c r="A12" s="126" t="s">
        <v>30</v>
      </c>
      <c r="B12" s="24">
        <v>0</v>
      </c>
      <c r="C12" s="181" t="s">
        <v>11</v>
      </c>
      <c r="D12" s="182"/>
      <c r="F12" s="14"/>
      <c r="G12" s="14"/>
      <c r="H12" s="14"/>
    </row>
    <row r="13" spans="1:8" x14ac:dyDescent="0.2">
      <c r="A13" s="126" t="s">
        <v>28</v>
      </c>
      <c r="B13" s="28">
        <v>0</v>
      </c>
      <c r="C13" s="183" t="s">
        <v>11</v>
      </c>
      <c r="D13" s="184"/>
      <c r="F13" s="14"/>
      <c r="G13" s="14"/>
      <c r="H13" s="14"/>
    </row>
    <row r="14" spans="1:8" ht="12" thickBot="1" x14ac:dyDescent="0.25">
      <c r="A14" s="127" t="s">
        <v>15</v>
      </c>
      <c r="B14" s="30">
        <v>1</v>
      </c>
      <c r="C14" s="151" t="s">
        <v>11</v>
      </c>
      <c r="D14" s="152"/>
      <c r="F14" s="14"/>
      <c r="G14" s="14"/>
      <c r="H14" s="14"/>
    </row>
    <row r="15" spans="1:8" ht="12" thickBot="1" x14ac:dyDescent="0.25">
      <c r="A15" s="214"/>
      <c r="B15" s="215"/>
      <c r="C15" s="215"/>
      <c r="D15" s="216"/>
      <c r="F15" s="14"/>
      <c r="G15" s="14"/>
      <c r="H15" s="14"/>
    </row>
    <row r="16" spans="1:8" x14ac:dyDescent="0.2">
      <c r="A16" s="32" t="s">
        <v>13</v>
      </c>
      <c r="B16" s="33">
        <f>CEILING((B3-0.1)/0.4,1)+1</f>
        <v>4</v>
      </c>
      <c r="C16" s="149" t="s">
        <v>9</v>
      </c>
      <c r="D16" s="150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SUM(B6:B8)</f>
        <v>3</v>
      </c>
      <c r="C17" s="185" t="s">
        <v>9</v>
      </c>
      <c r="D17" s="186"/>
      <c r="E17" s="15"/>
      <c r="F17" s="14"/>
      <c r="G17" s="14"/>
      <c r="H17" s="14"/>
    </row>
    <row r="18" spans="1:8" ht="12" thickBot="1" x14ac:dyDescent="0.25">
      <c r="A18" s="207"/>
      <c r="B18" s="207"/>
      <c r="C18" s="207"/>
      <c r="D18" s="207"/>
      <c r="F18" s="14"/>
      <c r="G18" s="14"/>
      <c r="H18" s="14"/>
    </row>
    <row r="19" spans="1:8" ht="12.75" x14ac:dyDescent="0.2">
      <c r="A19" s="8" t="s">
        <v>5</v>
      </c>
      <c r="B19" s="25" t="s">
        <v>0</v>
      </c>
      <c r="C19" s="9" t="s">
        <v>3</v>
      </c>
      <c r="D19" s="10" t="s">
        <v>6</v>
      </c>
      <c r="F19" s="14"/>
      <c r="G19" s="14"/>
      <c r="H19" s="14"/>
    </row>
    <row r="20" spans="1:8" x14ac:dyDescent="0.2">
      <c r="A20" s="26" t="s">
        <v>16</v>
      </c>
      <c r="B20" s="18">
        <f>(B3-0.07)*B17</f>
        <v>2.79</v>
      </c>
      <c r="C20" s="3"/>
      <c r="D20" s="1">
        <f t="shared" ref="D20:D43" si="0">B20*C20</f>
        <v>0</v>
      </c>
      <c r="F20" s="14"/>
      <c r="G20" s="14"/>
      <c r="H20" s="14"/>
    </row>
    <row r="21" spans="1:8" x14ac:dyDescent="0.2">
      <c r="A21" s="26" t="s">
        <v>17</v>
      </c>
      <c r="B21" s="18">
        <f>(B3-0.007)*B17</f>
        <v>2.9790000000000001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18</v>
      </c>
      <c r="B22" s="19">
        <f>(B3-0.026*2)*B17</f>
        <v>2.8439999999999999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47" t="s">
        <v>83</v>
      </c>
      <c r="B23" s="19">
        <f>(B4-0.007)*B17*2</f>
        <v>5.9580000000000002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26" t="s">
        <v>88</v>
      </c>
      <c r="B24" s="19">
        <f>(B3-0.026)*B7</f>
        <v>0.97399999999999998</v>
      </c>
      <c r="C24" s="7"/>
      <c r="D24" s="12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(B3-0.002)*B17*4</f>
        <v>11.975999999999999</v>
      </c>
      <c r="C25" s="7"/>
      <c r="D25" s="12">
        <f t="shared" si="0"/>
        <v>0</v>
      </c>
    </row>
    <row r="26" spans="1:8" x14ac:dyDescent="0.2">
      <c r="A26" s="26" t="s">
        <v>197</v>
      </c>
      <c r="B26" s="19">
        <f>B17*2</f>
        <v>6</v>
      </c>
      <c r="C26" s="7"/>
      <c r="D26" s="12">
        <f t="shared" si="0"/>
        <v>0</v>
      </c>
    </row>
    <row r="27" spans="1:8" x14ac:dyDescent="0.2">
      <c r="A27" s="26" t="s">
        <v>26</v>
      </c>
      <c r="B27" s="19">
        <f>2*B8</f>
        <v>2</v>
      </c>
      <c r="C27" s="7"/>
      <c r="D27" s="12">
        <f t="shared" si="0"/>
        <v>0</v>
      </c>
    </row>
    <row r="28" spans="1:8" x14ac:dyDescent="0.2">
      <c r="A28" s="26" t="s">
        <v>94</v>
      </c>
      <c r="B28" s="19">
        <f>B6*2</f>
        <v>2</v>
      </c>
      <c r="C28" s="7"/>
      <c r="D28" s="12">
        <f t="shared" si="0"/>
        <v>0</v>
      </c>
    </row>
    <row r="29" spans="1:8" x14ac:dyDescent="0.2">
      <c r="A29" s="48" t="s">
        <v>101</v>
      </c>
      <c r="B29" s="19">
        <f>B6*2</f>
        <v>2</v>
      </c>
      <c r="C29" s="7"/>
      <c r="D29" s="12">
        <f t="shared" si="0"/>
        <v>0</v>
      </c>
    </row>
    <row r="30" spans="1:8" x14ac:dyDescent="0.2">
      <c r="A30" s="48" t="s">
        <v>102</v>
      </c>
      <c r="B30" s="19">
        <f>(B7+B8)*2</f>
        <v>4</v>
      </c>
      <c r="C30" s="7"/>
      <c r="D30" s="12">
        <f t="shared" si="0"/>
        <v>0</v>
      </c>
    </row>
    <row r="31" spans="1:8" x14ac:dyDescent="0.2">
      <c r="A31" s="26" t="s">
        <v>62</v>
      </c>
      <c r="B31" s="19">
        <f>2*(B7+B8)</f>
        <v>4</v>
      </c>
      <c r="C31" s="7"/>
      <c r="D31" s="12">
        <f t="shared" si="0"/>
        <v>0</v>
      </c>
    </row>
    <row r="32" spans="1:8" x14ac:dyDescent="0.2">
      <c r="A32" s="26" t="s">
        <v>68</v>
      </c>
      <c r="B32" s="19">
        <f>2*B7</f>
        <v>2</v>
      </c>
      <c r="C32" s="7"/>
      <c r="D32" s="12">
        <f t="shared" si="0"/>
        <v>0</v>
      </c>
    </row>
    <row r="33" spans="1:5" x14ac:dyDescent="0.2">
      <c r="A33" s="48" t="s">
        <v>85</v>
      </c>
      <c r="B33" s="19">
        <f>IF(B8=1,B11*2,0)</f>
        <v>0</v>
      </c>
      <c r="C33" s="7"/>
      <c r="D33" s="12">
        <f t="shared" si="0"/>
        <v>0</v>
      </c>
    </row>
    <row r="34" spans="1:5" x14ac:dyDescent="0.2">
      <c r="A34" s="26" t="s">
        <v>21</v>
      </c>
      <c r="B34" s="19">
        <f>B33</f>
        <v>0</v>
      </c>
      <c r="C34" s="7"/>
      <c r="D34" s="12">
        <f t="shared" si="0"/>
        <v>0</v>
      </c>
    </row>
    <row r="35" spans="1:5" x14ac:dyDescent="0.2">
      <c r="A35" s="26" t="s">
        <v>65</v>
      </c>
      <c r="B35" s="19">
        <f>IF(B9=1,B11*2,0)</f>
        <v>0</v>
      </c>
      <c r="C35" s="7"/>
      <c r="D35" s="12">
        <f t="shared" si="0"/>
        <v>0</v>
      </c>
    </row>
    <row r="36" spans="1:5" x14ac:dyDescent="0.2">
      <c r="A36" s="26" t="s">
        <v>92</v>
      </c>
      <c r="B36" s="19">
        <f>B6</f>
        <v>1</v>
      </c>
      <c r="C36" s="7"/>
      <c r="D36" s="12">
        <f t="shared" si="0"/>
        <v>0</v>
      </c>
    </row>
    <row r="37" spans="1:5" x14ac:dyDescent="0.2">
      <c r="A37" s="26" t="s">
        <v>91</v>
      </c>
      <c r="B37" s="19">
        <f>B6</f>
        <v>1</v>
      </c>
      <c r="C37" s="7"/>
      <c r="D37" s="12">
        <f t="shared" si="0"/>
        <v>0</v>
      </c>
    </row>
    <row r="38" spans="1:5" x14ac:dyDescent="0.2">
      <c r="A38" s="26" t="s">
        <v>95</v>
      </c>
      <c r="B38" s="19">
        <f>B7+B8</f>
        <v>2</v>
      </c>
      <c r="C38" s="7"/>
      <c r="D38" s="12">
        <f t="shared" si="0"/>
        <v>0</v>
      </c>
    </row>
    <row r="39" spans="1:5" x14ac:dyDescent="0.2">
      <c r="A39" s="26" t="s">
        <v>96</v>
      </c>
      <c r="B39" s="19">
        <f>B7+B8</f>
        <v>2</v>
      </c>
      <c r="C39" s="7"/>
      <c r="D39" s="12">
        <f t="shared" si="0"/>
        <v>0</v>
      </c>
    </row>
    <row r="40" spans="1:5" x14ac:dyDescent="0.2">
      <c r="A40" s="20" t="s">
        <v>52</v>
      </c>
      <c r="B40" s="19">
        <f>((B3+B4+0.1)*B16*B17)*2</f>
        <v>50.400000000000006</v>
      </c>
      <c r="C40" s="7"/>
      <c r="D40" s="12">
        <f t="shared" si="0"/>
        <v>0</v>
      </c>
      <c r="E40" s="15"/>
    </row>
    <row r="41" spans="1:5" x14ac:dyDescent="0.2">
      <c r="A41" s="20" t="s">
        <v>64</v>
      </c>
      <c r="B41" s="19">
        <f>(2*B4+B3+0.3)*(B7+B8)</f>
        <v>6.6</v>
      </c>
      <c r="C41" s="7"/>
      <c r="D41" s="12">
        <f t="shared" si="0"/>
        <v>0</v>
      </c>
      <c r="E41" s="15"/>
    </row>
    <row r="42" spans="1:5" x14ac:dyDescent="0.2">
      <c r="A42" s="20" t="s">
        <v>213</v>
      </c>
      <c r="B42" s="19">
        <f>B5*0.75*B17*2</f>
        <v>4.5</v>
      </c>
      <c r="C42" s="7"/>
      <c r="D42" s="12">
        <f t="shared" si="0"/>
        <v>0</v>
      </c>
      <c r="E42" s="15"/>
    </row>
    <row r="43" spans="1:5" x14ac:dyDescent="0.2">
      <c r="A43" s="26" t="s">
        <v>12</v>
      </c>
      <c r="B43" s="19">
        <f>4*B17</f>
        <v>12</v>
      </c>
      <c r="C43" s="7"/>
      <c r="D43" s="12">
        <f t="shared" si="0"/>
        <v>0</v>
      </c>
    </row>
    <row r="44" spans="1:5" ht="12" thickBot="1" x14ac:dyDescent="0.25">
      <c r="A44" s="162"/>
      <c r="B44" s="163"/>
      <c r="C44" s="163"/>
      <c r="D44" s="164"/>
    </row>
    <row r="45" spans="1:5" ht="12.75" x14ac:dyDescent="0.2">
      <c r="A45" s="174" t="s">
        <v>14</v>
      </c>
      <c r="B45" s="175"/>
      <c r="C45" s="175"/>
      <c r="D45" s="176"/>
    </row>
    <row r="46" spans="1:5" x14ac:dyDescent="0.2">
      <c r="A46" s="26" t="s">
        <v>34</v>
      </c>
      <c r="B46" s="19">
        <f>IF(B10=1,H79,IF(B14=1,H79,IF(B11=1,H79,IF(B12=1,H79,0))))</f>
        <v>2</v>
      </c>
      <c r="C46" s="7"/>
      <c r="D46" s="12">
        <f>B46*C46</f>
        <v>0</v>
      </c>
      <c r="E46" s="15"/>
    </row>
    <row r="47" spans="1:5" x14ac:dyDescent="0.2">
      <c r="A47" s="26" t="s">
        <v>201</v>
      </c>
      <c r="B47" s="19">
        <f>IF(B10=1,2*B8,IF(B11=1,2*B8,IF(B12=1,2*B8,0)))</f>
        <v>0</v>
      </c>
      <c r="C47" s="7"/>
      <c r="D47" s="62">
        <f>B47*C47</f>
        <v>0</v>
      </c>
      <c r="E47" s="15"/>
    </row>
    <row r="48" spans="1:5" x14ac:dyDescent="0.2">
      <c r="A48" s="26" t="s">
        <v>35</v>
      </c>
      <c r="B48" s="19">
        <f>IF(B11=1,G79+H79,0)</f>
        <v>0</v>
      </c>
      <c r="C48" s="7"/>
      <c r="D48" s="12">
        <f>B48*C48</f>
        <v>0</v>
      </c>
      <c r="E48" s="15"/>
    </row>
    <row r="49" spans="1:4" x14ac:dyDescent="0.2">
      <c r="A49" s="26" t="s">
        <v>36</v>
      </c>
      <c r="B49" s="19">
        <f>IF(B11=1,(G79),0)</f>
        <v>0</v>
      </c>
      <c r="C49" s="7"/>
      <c r="D49" s="12">
        <f>B63*C49</f>
        <v>0</v>
      </c>
    </row>
    <row r="50" spans="1:4" x14ac:dyDescent="0.2">
      <c r="A50" s="26" t="s">
        <v>37</v>
      </c>
      <c r="B50" s="19">
        <f>IF(B12=1,H79,0)</f>
        <v>0</v>
      </c>
      <c r="C50" s="7"/>
      <c r="D50" s="12">
        <f t="shared" ref="D50:D63" si="1">B50*C50</f>
        <v>0</v>
      </c>
    </row>
    <row r="51" spans="1:4" x14ac:dyDescent="0.2">
      <c r="A51" s="26" t="s">
        <v>38</v>
      </c>
      <c r="B51" s="19">
        <f>IF(B12=1,G79,0)</f>
        <v>0</v>
      </c>
      <c r="C51" s="7"/>
      <c r="D51" s="12">
        <f t="shared" si="1"/>
        <v>0</v>
      </c>
    </row>
    <row r="52" spans="1:4" x14ac:dyDescent="0.2">
      <c r="A52" s="26" t="s">
        <v>39</v>
      </c>
      <c r="B52" s="19">
        <f>IF(B10=1,(G79),IF(B11=1,0,IF(B13=1,(G79),IF(B14=1,G79,0))))</f>
        <v>16</v>
      </c>
      <c r="C52" s="7"/>
      <c r="D52" s="12">
        <f t="shared" si="1"/>
        <v>0</v>
      </c>
    </row>
    <row r="53" spans="1:4" x14ac:dyDescent="0.2">
      <c r="A53" s="26" t="s">
        <v>33</v>
      </c>
      <c r="B53" s="19">
        <f>(IF(B11=1,G79,0))</f>
        <v>0</v>
      </c>
      <c r="C53" s="7"/>
      <c r="D53" s="12">
        <f t="shared" si="1"/>
        <v>0</v>
      </c>
    </row>
    <row r="54" spans="1:4" x14ac:dyDescent="0.2">
      <c r="A54" s="26" t="s">
        <v>40</v>
      </c>
      <c r="B54" s="19">
        <f>IF(B13=1,G79,0)</f>
        <v>0</v>
      </c>
      <c r="C54" s="7"/>
      <c r="D54" s="12">
        <f t="shared" si="1"/>
        <v>0</v>
      </c>
    </row>
    <row r="55" spans="1:4" x14ac:dyDescent="0.2">
      <c r="A55" s="26" t="s">
        <v>41</v>
      </c>
      <c r="B55" s="19">
        <f>IF(B13=1,1*H79/2,0)</f>
        <v>0</v>
      </c>
      <c r="C55" s="7"/>
      <c r="D55" s="12">
        <f t="shared" si="1"/>
        <v>0</v>
      </c>
    </row>
    <row r="56" spans="1:4" x14ac:dyDescent="0.2">
      <c r="A56" s="26" t="s">
        <v>32</v>
      </c>
      <c r="B56" s="19">
        <f>B55*2+B54</f>
        <v>0</v>
      </c>
      <c r="C56" s="7"/>
      <c r="D56" s="12">
        <f t="shared" si="1"/>
        <v>0</v>
      </c>
    </row>
    <row r="57" spans="1:4" x14ac:dyDescent="0.2">
      <c r="A57" s="26" t="s">
        <v>42</v>
      </c>
      <c r="B57" s="23">
        <f>IF(B11=1,H79,IF(B12=1,H79,IF(B14=1,H79,0)))</f>
        <v>2</v>
      </c>
      <c r="C57" s="7"/>
      <c r="D57" s="12">
        <f t="shared" si="1"/>
        <v>0</v>
      </c>
    </row>
    <row r="58" spans="1:4" x14ac:dyDescent="0.2">
      <c r="A58" s="26" t="s">
        <v>135</v>
      </c>
      <c r="B58" s="19">
        <f>B57</f>
        <v>2</v>
      </c>
      <c r="C58" s="7"/>
      <c r="D58" s="12">
        <f t="shared" si="1"/>
        <v>0</v>
      </c>
    </row>
    <row r="59" spans="1:4" x14ac:dyDescent="0.2">
      <c r="A59" s="26" t="s">
        <v>202</v>
      </c>
      <c r="B59" s="23">
        <f>IF(B11=1,G79,IF(B13=1,G79,0))</f>
        <v>0</v>
      </c>
      <c r="C59" s="3"/>
      <c r="D59" s="12">
        <f t="shared" si="1"/>
        <v>0</v>
      </c>
    </row>
    <row r="60" spans="1:4" x14ac:dyDescent="0.2">
      <c r="A60" s="26" t="s">
        <v>43</v>
      </c>
      <c r="B60" s="23">
        <f>B54*2*B17+B55*2</f>
        <v>0</v>
      </c>
      <c r="C60" s="7"/>
      <c r="D60" s="12">
        <f t="shared" si="1"/>
        <v>0</v>
      </c>
    </row>
    <row r="61" spans="1:4" x14ac:dyDescent="0.2">
      <c r="A61" s="26" t="s">
        <v>44</v>
      </c>
      <c r="B61" s="23">
        <f>B55*2</f>
        <v>0</v>
      </c>
      <c r="C61" s="7"/>
      <c r="D61" s="12">
        <f t="shared" si="1"/>
        <v>0</v>
      </c>
    </row>
    <row r="62" spans="1:4" x14ac:dyDescent="0.2">
      <c r="A62" s="26" t="s">
        <v>45</v>
      </c>
      <c r="B62" s="19">
        <f>IF(B10=1,B46,0)</f>
        <v>0</v>
      </c>
      <c r="C62" s="7"/>
      <c r="D62" s="12">
        <f t="shared" si="1"/>
        <v>0</v>
      </c>
    </row>
    <row r="63" spans="1:4" ht="12" thickBot="1" x14ac:dyDescent="0.25">
      <c r="A63" s="27" t="s">
        <v>46</v>
      </c>
      <c r="B63" s="44">
        <f>IF(B14=1,G79+H79,0)</f>
        <v>18</v>
      </c>
      <c r="C63" s="11"/>
      <c r="D63" s="13">
        <f t="shared" si="1"/>
        <v>0</v>
      </c>
    </row>
    <row r="64" spans="1:4" ht="12" thickBot="1" x14ac:dyDescent="0.25">
      <c r="A64" s="162"/>
      <c r="B64" s="163"/>
      <c r="C64" s="163"/>
      <c r="D64" s="164"/>
    </row>
    <row r="65" spans="1:8" ht="12.75" x14ac:dyDescent="0.2">
      <c r="A65" s="159" t="s">
        <v>67</v>
      </c>
      <c r="B65" s="160"/>
      <c r="C65" s="160"/>
      <c r="D65" s="203"/>
    </row>
    <row r="66" spans="1:8" x14ac:dyDescent="0.2">
      <c r="A66" s="26" t="s">
        <v>50</v>
      </c>
      <c r="B66" s="19">
        <v>1</v>
      </c>
      <c r="C66" s="7"/>
      <c r="D66" s="12">
        <f>B66*C66</f>
        <v>0</v>
      </c>
    </row>
    <row r="67" spans="1:8" ht="12" thickBot="1" x14ac:dyDescent="0.25">
      <c r="A67" s="27" t="s">
        <v>51</v>
      </c>
      <c r="B67" s="44">
        <v>1</v>
      </c>
      <c r="C67" s="11"/>
      <c r="D67" s="13">
        <f>B67*C67</f>
        <v>0</v>
      </c>
    </row>
    <row r="68" spans="1:8" x14ac:dyDescent="0.2">
      <c r="C68" s="2" t="s">
        <v>7</v>
      </c>
      <c r="D68" s="2">
        <f>SUM(D20:D67)</f>
        <v>0</v>
      </c>
    </row>
    <row r="74" spans="1:8" ht="12" thickBot="1" x14ac:dyDescent="0.25">
      <c r="F74" s="213" t="s">
        <v>9</v>
      </c>
      <c r="G74" s="213"/>
      <c r="H74" s="213"/>
    </row>
    <row r="75" spans="1:8" x14ac:dyDescent="0.2">
      <c r="F75" s="210" t="s">
        <v>70</v>
      </c>
      <c r="G75" s="211"/>
      <c r="H75" s="212"/>
    </row>
    <row r="76" spans="1:8" x14ac:dyDescent="0.2">
      <c r="F76" s="39">
        <f>B16</f>
        <v>4</v>
      </c>
      <c r="G76" s="6">
        <f>F76*B6</f>
        <v>4</v>
      </c>
      <c r="H76" s="1">
        <v>0</v>
      </c>
    </row>
    <row r="77" spans="1:8" x14ac:dyDescent="0.2">
      <c r="F77" s="39">
        <f>B16*2</f>
        <v>8</v>
      </c>
      <c r="G77" s="6">
        <f>F77*B7</f>
        <v>8</v>
      </c>
      <c r="H77" s="1">
        <v>0</v>
      </c>
    </row>
    <row r="78" spans="1:8" ht="12" thickBot="1" x14ac:dyDescent="0.25">
      <c r="F78" s="40">
        <f>B16</f>
        <v>4</v>
      </c>
      <c r="G78" s="36">
        <f>F78*B8</f>
        <v>4</v>
      </c>
      <c r="H78" s="41">
        <f>2*B8</f>
        <v>2</v>
      </c>
    </row>
    <row r="79" spans="1:8" ht="12" thickBot="1" x14ac:dyDescent="0.25">
      <c r="F79" s="37">
        <f>SUM(F76:F78)</f>
        <v>16</v>
      </c>
      <c r="G79" s="38">
        <f>SUM(G76:G78)</f>
        <v>16</v>
      </c>
      <c r="H79" s="38">
        <f>SUM(H76:H78)</f>
        <v>2</v>
      </c>
    </row>
    <row r="80" spans="1:8" x14ac:dyDescent="0.2">
      <c r="F80" s="42" t="s">
        <v>66</v>
      </c>
      <c r="G80" s="42" t="s">
        <v>74</v>
      </c>
      <c r="H80" s="42" t="s">
        <v>69</v>
      </c>
    </row>
  </sheetData>
  <mergeCells count="24">
    <mergeCell ref="C6:D6"/>
    <mergeCell ref="C7:D7"/>
    <mergeCell ref="C8:D8"/>
    <mergeCell ref="A1:D1"/>
    <mergeCell ref="A2:D2"/>
    <mergeCell ref="C3:D3"/>
    <mergeCell ref="C4:D4"/>
    <mergeCell ref="C5:D5"/>
    <mergeCell ref="F75:H75"/>
    <mergeCell ref="A9:D9"/>
    <mergeCell ref="C10:D10"/>
    <mergeCell ref="C11:D11"/>
    <mergeCell ref="A44:D44"/>
    <mergeCell ref="A45:D45"/>
    <mergeCell ref="C16:D16"/>
    <mergeCell ref="F74:H74"/>
    <mergeCell ref="A64:D64"/>
    <mergeCell ref="A65:D65"/>
    <mergeCell ref="A18:D18"/>
    <mergeCell ref="C17:D17"/>
    <mergeCell ref="A15:D15"/>
    <mergeCell ref="C12:D12"/>
    <mergeCell ref="C13:D13"/>
    <mergeCell ref="C14:D1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="115" zoomScaleNormal="100" workbookViewId="0">
      <selection activeCell="A10" sqref="A10:A14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65" t="s">
        <v>265</v>
      </c>
      <c r="B1" s="166"/>
      <c r="C1" s="166"/>
      <c r="D1" s="219"/>
    </row>
    <row r="2" spans="1:8" ht="15" thickBot="1" x14ac:dyDescent="0.25">
      <c r="A2" s="167" t="s">
        <v>2</v>
      </c>
      <c r="B2" s="168"/>
      <c r="C2" s="168"/>
      <c r="D2" s="169"/>
    </row>
    <row r="3" spans="1:8" x14ac:dyDescent="0.2">
      <c r="A3" s="136" t="s">
        <v>55</v>
      </c>
      <c r="B3" s="96">
        <v>0.6</v>
      </c>
      <c r="C3" s="220" t="s">
        <v>10</v>
      </c>
      <c r="D3" s="171"/>
    </row>
    <row r="4" spans="1:8" x14ac:dyDescent="0.2">
      <c r="A4" s="137" t="s">
        <v>261</v>
      </c>
      <c r="B4" s="97">
        <v>1</v>
      </c>
      <c r="C4" s="221" t="s">
        <v>10</v>
      </c>
      <c r="D4" s="182"/>
    </row>
    <row r="5" spans="1:8" x14ac:dyDescent="0.2">
      <c r="A5" s="137" t="s">
        <v>262</v>
      </c>
      <c r="B5" s="103">
        <v>0.3</v>
      </c>
      <c r="C5" s="229" t="s">
        <v>10</v>
      </c>
      <c r="D5" s="230"/>
    </row>
    <row r="6" spans="1:8" ht="12" thickBot="1" x14ac:dyDescent="0.25">
      <c r="A6" s="261" t="s">
        <v>53</v>
      </c>
      <c r="B6" s="98">
        <v>1</v>
      </c>
      <c r="C6" s="227" t="s">
        <v>10</v>
      </c>
      <c r="D6" s="228"/>
    </row>
    <row r="7" spans="1:8" x14ac:dyDescent="0.2">
      <c r="A7" s="262" t="s">
        <v>263</v>
      </c>
      <c r="B7" s="59">
        <v>1</v>
      </c>
      <c r="C7" s="225" t="s">
        <v>10</v>
      </c>
      <c r="D7" s="226"/>
      <c r="H7" s="14"/>
    </row>
    <row r="8" spans="1:8" x14ac:dyDescent="0.2">
      <c r="A8" s="126" t="s">
        <v>264</v>
      </c>
      <c r="B8" s="28">
        <v>1</v>
      </c>
      <c r="C8" s="197" t="s">
        <v>10</v>
      </c>
      <c r="D8" s="178"/>
      <c r="H8" s="14"/>
    </row>
    <row r="9" spans="1:8" ht="12" thickBot="1" x14ac:dyDescent="0.25">
      <c r="A9" s="179" t="s">
        <v>14</v>
      </c>
      <c r="B9" s="179"/>
      <c r="C9" s="179"/>
      <c r="D9" s="179"/>
      <c r="H9" s="14"/>
    </row>
    <row r="10" spans="1:8" x14ac:dyDescent="0.2">
      <c r="A10" s="125" t="s">
        <v>29</v>
      </c>
      <c r="B10" s="29">
        <v>0</v>
      </c>
      <c r="C10" s="180" t="s">
        <v>11</v>
      </c>
      <c r="D10" s="154"/>
      <c r="H10" s="14"/>
    </row>
    <row r="11" spans="1:8" x14ac:dyDescent="0.2">
      <c r="A11" s="126" t="s">
        <v>31</v>
      </c>
      <c r="B11" s="28">
        <v>0</v>
      </c>
      <c r="C11" s="183" t="s">
        <v>11</v>
      </c>
      <c r="D11" s="184"/>
      <c r="F11" s="14"/>
      <c r="G11" s="14"/>
      <c r="H11" s="14"/>
    </row>
    <row r="12" spans="1:8" x14ac:dyDescent="0.2">
      <c r="A12" s="126" t="s">
        <v>30</v>
      </c>
      <c r="B12" s="24">
        <v>0</v>
      </c>
      <c r="C12" s="181" t="s">
        <v>11</v>
      </c>
      <c r="D12" s="182"/>
      <c r="F12" s="14"/>
      <c r="G12" s="14"/>
      <c r="H12" s="14"/>
    </row>
    <row r="13" spans="1:8" x14ac:dyDescent="0.2">
      <c r="A13" s="126" t="s">
        <v>28</v>
      </c>
      <c r="B13" s="28">
        <v>0</v>
      </c>
      <c r="C13" s="183" t="s">
        <v>11</v>
      </c>
      <c r="D13" s="184"/>
      <c r="F13" s="14"/>
      <c r="G13" s="14"/>
      <c r="H13" s="14"/>
    </row>
    <row r="14" spans="1:8" ht="12" thickBot="1" x14ac:dyDescent="0.25">
      <c r="A14" s="127" t="s">
        <v>15</v>
      </c>
      <c r="B14" s="30">
        <v>0</v>
      </c>
      <c r="C14" s="151" t="s">
        <v>11</v>
      </c>
      <c r="D14" s="152"/>
      <c r="F14" s="14"/>
      <c r="G14" s="14"/>
      <c r="H14" s="14"/>
    </row>
    <row r="15" spans="1:8" x14ac:dyDescent="0.2">
      <c r="A15" s="191"/>
      <c r="B15" s="192"/>
      <c r="C15" s="192"/>
      <c r="D15" s="193"/>
      <c r="F15" s="14"/>
      <c r="G15" s="14"/>
      <c r="H15" s="14"/>
    </row>
    <row r="16" spans="1:8" x14ac:dyDescent="0.2">
      <c r="A16" s="106" t="s">
        <v>266</v>
      </c>
      <c r="B16" s="28">
        <f>((B4-B5)^2)+((B3)^2)</f>
        <v>0.84999999999999987</v>
      </c>
      <c r="C16" s="231" t="s">
        <v>9</v>
      </c>
      <c r="D16" s="232"/>
      <c r="F16" s="14"/>
      <c r="G16" s="14"/>
      <c r="H16" s="14"/>
    </row>
    <row r="17" spans="1:8" x14ac:dyDescent="0.2">
      <c r="A17" s="104" t="s">
        <v>13</v>
      </c>
      <c r="B17" s="105">
        <f>CEILING((B3-0.1)/0.4,1)+1</f>
        <v>3</v>
      </c>
      <c r="C17" s="233" t="s">
        <v>9</v>
      </c>
      <c r="D17" s="234"/>
      <c r="E17" s="15"/>
      <c r="F17" s="14"/>
      <c r="G17" s="14"/>
      <c r="H17" s="14"/>
    </row>
    <row r="18" spans="1:8" ht="12" thickBot="1" x14ac:dyDescent="0.25">
      <c r="A18" s="34" t="s">
        <v>59</v>
      </c>
      <c r="B18" s="35">
        <f>SUM(B7:B8)</f>
        <v>2</v>
      </c>
      <c r="C18" s="185" t="s">
        <v>9</v>
      </c>
      <c r="D18" s="186"/>
      <c r="E18" s="15"/>
      <c r="F18" s="14"/>
      <c r="G18" s="14"/>
      <c r="H18" s="14"/>
    </row>
    <row r="19" spans="1:8" ht="12" thickBot="1" x14ac:dyDescent="0.25">
      <c r="A19" s="207"/>
      <c r="B19" s="207"/>
      <c r="C19" s="207"/>
      <c r="D19" s="207"/>
      <c r="F19" s="14"/>
      <c r="G19" s="14"/>
      <c r="H19" s="14"/>
    </row>
    <row r="20" spans="1:8" ht="12.75" x14ac:dyDescent="0.2">
      <c r="A20" s="92" t="s">
        <v>5</v>
      </c>
      <c r="B20" s="93" t="s">
        <v>0</v>
      </c>
      <c r="C20" s="9" t="s">
        <v>3</v>
      </c>
      <c r="D20" s="94" t="s">
        <v>6</v>
      </c>
      <c r="F20" s="14"/>
      <c r="G20" s="14"/>
      <c r="H20" s="14"/>
    </row>
    <row r="21" spans="1:8" x14ac:dyDescent="0.2">
      <c r="A21" s="26" t="s">
        <v>16</v>
      </c>
      <c r="B21" s="18"/>
      <c r="C21" s="3"/>
      <c r="D21" s="1">
        <f t="shared" ref="D21:D43" si="0">B21*C21</f>
        <v>0</v>
      </c>
      <c r="F21" s="14"/>
      <c r="G21" s="14"/>
      <c r="H21" s="14"/>
    </row>
    <row r="22" spans="1:8" x14ac:dyDescent="0.2">
      <c r="A22" s="26" t="s">
        <v>17</v>
      </c>
      <c r="B22" s="18">
        <f>(B3-0.007)*B18</f>
        <v>1.1859999999999999</v>
      </c>
      <c r="C22" s="3"/>
      <c r="D22" s="1">
        <f t="shared" si="0"/>
        <v>0</v>
      </c>
      <c r="F22" s="14"/>
      <c r="G22" s="14"/>
      <c r="H22" s="14"/>
    </row>
    <row r="23" spans="1:8" x14ac:dyDescent="0.2">
      <c r="A23" s="26" t="s">
        <v>18</v>
      </c>
      <c r="B23" s="19">
        <f>(B16-0.07)*B18</f>
        <v>1.5599999999999996</v>
      </c>
      <c r="C23" s="7"/>
      <c r="D23" s="95">
        <f t="shared" si="0"/>
        <v>0</v>
      </c>
      <c r="F23" s="14"/>
      <c r="G23" s="14"/>
      <c r="H23" s="14"/>
    </row>
    <row r="24" spans="1:8" x14ac:dyDescent="0.2">
      <c r="A24" s="47" t="s">
        <v>83</v>
      </c>
      <c r="B24" s="107">
        <f>((B3-0.007)*2)*B18</f>
        <v>2.3719999999999999</v>
      </c>
      <c r="C24" s="7"/>
      <c r="D24" s="95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(B3-0.002)*B18*4</f>
        <v>4.7839999999999998</v>
      </c>
      <c r="C25" s="7"/>
      <c r="D25" s="95">
        <f t="shared" si="0"/>
        <v>0</v>
      </c>
    </row>
    <row r="26" spans="1:8" x14ac:dyDescent="0.2">
      <c r="A26" s="26" t="s">
        <v>197</v>
      </c>
      <c r="B26" s="19">
        <f>B18*2</f>
        <v>4</v>
      </c>
      <c r="C26" s="7"/>
      <c r="D26" s="95">
        <f t="shared" si="0"/>
        <v>0</v>
      </c>
    </row>
    <row r="27" spans="1:8" x14ac:dyDescent="0.2">
      <c r="A27" s="26" t="s">
        <v>169</v>
      </c>
      <c r="B27" s="19">
        <f>B18*2</f>
        <v>4</v>
      </c>
      <c r="C27" s="7"/>
      <c r="D27" s="95">
        <f t="shared" si="0"/>
        <v>0</v>
      </c>
    </row>
    <row r="28" spans="1:8" x14ac:dyDescent="0.2">
      <c r="A28" s="48" t="s">
        <v>101</v>
      </c>
      <c r="B28" s="117"/>
      <c r="C28" s="7"/>
      <c r="D28" s="95">
        <f t="shared" si="0"/>
        <v>0</v>
      </c>
    </row>
    <row r="29" spans="1:8" x14ac:dyDescent="0.2">
      <c r="A29" s="48" t="s">
        <v>126</v>
      </c>
      <c r="B29" s="19">
        <f>IF(B8=1,B8*1,0)</f>
        <v>1</v>
      </c>
      <c r="C29" s="7"/>
      <c r="D29" s="95">
        <f t="shared" si="0"/>
        <v>0</v>
      </c>
    </row>
    <row r="30" spans="1:8" x14ac:dyDescent="0.2">
      <c r="A30" s="26" t="s">
        <v>267</v>
      </c>
      <c r="B30" s="19">
        <f>B18*1</f>
        <v>2</v>
      </c>
      <c r="C30" s="7"/>
      <c r="D30" s="95">
        <f t="shared" si="0"/>
        <v>0</v>
      </c>
    </row>
    <row r="31" spans="1:8" x14ac:dyDescent="0.2">
      <c r="A31" s="26" t="s">
        <v>270</v>
      </c>
      <c r="B31" s="19"/>
      <c r="C31" s="7"/>
      <c r="D31" s="102"/>
    </row>
    <row r="32" spans="1:8" x14ac:dyDescent="0.2">
      <c r="A32" s="26" t="s">
        <v>271</v>
      </c>
      <c r="B32" s="19"/>
      <c r="C32" s="7"/>
      <c r="D32" s="102"/>
    </row>
    <row r="33" spans="1:5" x14ac:dyDescent="0.2">
      <c r="A33" s="26" t="s">
        <v>268</v>
      </c>
      <c r="B33" s="19">
        <f>B18*1</f>
        <v>2</v>
      </c>
      <c r="C33" s="7"/>
      <c r="D33" s="95">
        <f t="shared" si="0"/>
        <v>0</v>
      </c>
    </row>
    <row r="34" spans="1:5" x14ac:dyDescent="0.2">
      <c r="A34" s="48" t="s">
        <v>85</v>
      </c>
      <c r="B34" s="117"/>
      <c r="C34" s="7"/>
      <c r="D34" s="95">
        <f t="shared" si="0"/>
        <v>0</v>
      </c>
    </row>
    <row r="35" spans="1:5" x14ac:dyDescent="0.2">
      <c r="A35" s="26" t="s">
        <v>21</v>
      </c>
      <c r="B35" s="117">
        <f>B34</f>
        <v>0</v>
      </c>
      <c r="C35" s="7"/>
      <c r="D35" s="95">
        <f t="shared" si="0"/>
        <v>0</v>
      </c>
    </row>
    <row r="36" spans="1:5" x14ac:dyDescent="0.2">
      <c r="A36" s="26" t="s">
        <v>65</v>
      </c>
      <c r="B36" s="117">
        <f>IF(B9=1,B11*2,0)</f>
        <v>0</v>
      </c>
      <c r="C36" s="7"/>
      <c r="D36" s="95">
        <f t="shared" si="0"/>
        <v>0</v>
      </c>
    </row>
    <row r="37" spans="1:5" x14ac:dyDescent="0.2">
      <c r="A37" s="26" t="s">
        <v>269</v>
      </c>
      <c r="B37" s="117">
        <f>B7</f>
        <v>1</v>
      </c>
      <c r="C37" s="7"/>
      <c r="D37" s="95">
        <f t="shared" si="0"/>
        <v>0</v>
      </c>
    </row>
    <row r="38" spans="1:5" x14ac:dyDescent="0.2">
      <c r="A38" s="26" t="s">
        <v>273</v>
      </c>
      <c r="B38" s="117"/>
      <c r="C38" s="7"/>
      <c r="D38" s="102"/>
    </row>
    <row r="39" spans="1:5" x14ac:dyDescent="0.2">
      <c r="A39" s="26" t="s">
        <v>274</v>
      </c>
      <c r="B39" s="19">
        <f>B7</f>
        <v>1</v>
      </c>
      <c r="C39" s="7"/>
      <c r="D39" s="95">
        <f t="shared" si="0"/>
        <v>0</v>
      </c>
    </row>
    <row r="40" spans="1:5" x14ac:dyDescent="0.2">
      <c r="A40" s="26" t="s">
        <v>275</v>
      </c>
      <c r="B40" s="19"/>
      <c r="C40" s="7"/>
      <c r="D40" s="102"/>
    </row>
    <row r="41" spans="1:5" x14ac:dyDescent="0.2">
      <c r="A41" s="26" t="s">
        <v>276</v>
      </c>
      <c r="B41" s="19"/>
      <c r="C41" s="7"/>
      <c r="D41" s="102"/>
    </row>
    <row r="42" spans="1:5" x14ac:dyDescent="0.2">
      <c r="A42" s="20" t="s">
        <v>52</v>
      </c>
      <c r="B42" s="19">
        <f>((B3+B4+0.1)*B17*B18)*2</f>
        <v>20.400000000000002</v>
      </c>
      <c r="C42" s="7"/>
      <c r="D42" s="95">
        <f t="shared" si="0"/>
        <v>0</v>
      </c>
      <c r="E42" s="15"/>
    </row>
    <row r="43" spans="1:5" ht="10.5" customHeight="1" x14ac:dyDescent="0.2">
      <c r="A43" s="20"/>
      <c r="B43" s="19"/>
      <c r="C43" s="7"/>
      <c r="D43" s="95">
        <f t="shared" si="0"/>
        <v>0</v>
      </c>
      <c r="E43" s="15"/>
    </row>
    <row r="44" spans="1:5" ht="12" thickBot="1" x14ac:dyDescent="0.25">
      <c r="A44" s="162"/>
      <c r="B44" s="163"/>
      <c r="C44" s="163"/>
      <c r="D44" s="164"/>
    </row>
    <row r="45" spans="1:5" ht="12.75" x14ac:dyDescent="0.2">
      <c r="A45" s="174" t="s">
        <v>14</v>
      </c>
      <c r="B45" s="175"/>
      <c r="C45" s="175"/>
      <c r="D45" s="176"/>
    </row>
    <row r="46" spans="1:5" x14ac:dyDescent="0.2">
      <c r="A46" s="26" t="s">
        <v>34</v>
      </c>
      <c r="B46" s="19">
        <f>IF(B10=1,H81,IF(B14=1,H81,IF(B11=1,H81,IF(B12=1,H81,0))))</f>
        <v>0</v>
      </c>
      <c r="C46" s="7"/>
      <c r="D46" s="95">
        <f>B46*C46</f>
        <v>0</v>
      </c>
      <c r="E46" s="15"/>
    </row>
    <row r="47" spans="1:5" x14ac:dyDescent="0.2">
      <c r="A47" s="26" t="s">
        <v>201</v>
      </c>
      <c r="B47" s="19">
        <f>IF(B10=1,2*#REF!,IF(B11=1,2*#REF!,IF(B12=1,2*#REF!,0)))</f>
        <v>0</v>
      </c>
      <c r="C47" s="7"/>
      <c r="D47" s="95">
        <f>B47*C47</f>
        <v>0</v>
      </c>
      <c r="E47" s="15"/>
    </row>
    <row r="48" spans="1:5" x14ac:dyDescent="0.2">
      <c r="A48" s="26" t="s">
        <v>35</v>
      </c>
      <c r="B48" s="19">
        <f>IF(B11=1,G81+H81,0)</f>
        <v>0</v>
      </c>
      <c r="C48" s="7"/>
      <c r="D48" s="95">
        <f>B48*C48</f>
        <v>0</v>
      </c>
      <c r="E48" s="15"/>
    </row>
    <row r="49" spans="1:4" x14ac:dyDescent="0.2">
      <c r="A49" s="26" t="s">
        <v>36</v>
      </c>
      <c r="B49" s="19">
        <f>IF(B11=1,(G81),0)</f>
        <v>0</v>
      </c>
      <c r="C49" s="7"/>
      <c r="D49" s="95">
        <f>B63*C49</f>
        <v>0</v>
      </c>
    </row>
    <row r="50" spans="1:4" x14ac:dyDescent="0.2">
      <c r="A50" s="26" t="s">
        <v>37</v>
      </c>
      <c r="B50" s="19">
        <f>IF(B12=1,H81,0)</f>
        <v>0</v>
      </c>
      <c r="C50" s="7"/>
      <c r="D50" s="95">
        <f t="shared" ref="D50:D63" si="1">B50*C50</f>
        <v>0</v>
      </c>
    </row>
    <row r="51" spans="1:4" x14ac:dyDescent="0.2">
      <c r="A51" s="26" t="s">
        <v>38</v>
      </c>
      <c r="B51" s="19">
        <f>IF(B12=1,G81,0)</f>
        <v>0</v>
      </c>
      <c r="C51" s="7"/>
      <c r="D51" s="95">
        <f t="shared" si="1"/>
        <v>0</v>
      </c>
    </row>
    <row r="52" spans="1:4" x14ac:dyDescent="0.2">
      <c r="A52" s="26" t="s">
        <v>39</v>
      </c>
      <c r="B52" s="19">
        <f>IF(B10=1,(G81),IF(B11=1,0,IF(B13=1,(G81),IF(B14=1,G81,0))))</f>
        <v>0</v>
      </c>
      <c r="C52" s="7"/>
      <c r="D52" s="95">
        <f t="shared" si="1"/>
        <v>0</v>
      </c>
    </row>
    <row r="53" spans="1:4" x14ac:dyDescent="0.2">
      <c r="A53" s="26" t="s">
        <v>33</v>
      </c>
      <c r="B53" s="19">
        <f>(IF(B11=1,G81,0))</f>
        <v>0</v>
      </c>
      <c r="C53" s="7"/>
      <c r="D53" s="95">
        <f t="shared" si="1"/>
        <v>0</v>
      </c>
    </row>
    <row r="54" spans="1:4" x14ac:dyDescent="0.2">
      <c r="A54" s="26" t="s">
        <v>40</v>
      </c>
      <c r="B54" s="19">
        <f>IF(B13=1,G81,0)</f>
        <v>0</v>
      </c>
      <c r="C54" s="7"/>
      <c r="D54" s="95">
        <f t="shared" si="1"/>
        <v>0</v>
      </c>
    </row>
    <row r="55" spans="1:4" x14ac:dyDescent="0.2">
      <c r="A55" s="26" t="s">
        <v>41</v>
      </c>
      <c r="B55" s="19">
        <f>IF(B13=1,1*H81/2,0)</f>
        <v>0</v>
      </c>
      <c r="C55" s="7"/>
      <c r="D55" s="95">
        <f t="shared" si="1"/>
        <v>0</v>
      </c>
    </row>
    <row r="56" spans="1:4" x14ac:dyDescent="0.2">
      <c r="A56" s="26" t="s">
        <v>32</v>
      </c>
      <c r="B56" s="19">
        <f>B55*2+B54</f>
        <v>0</v>
      </c>
      <c r="C56" s="7"/>
      <c r="D56" s="95">
        <f t="shared" si="1"/>
        <v>0</v>
      </c>
    </row>
    <row r="57" spans="1:4" x14ac:dyDescent="0.2">
      <c r="A57" s="26" t="s">
        <v>42</v>
      </c>
      <c r="B57" s="100">
        <f>IF(B11=1,H81,IF(B12=1,H81,IF(B14=1,H81,0)))</f>
        <v>0</v>
      </c>
      <c r="C57" s="7"/>
      <c r="D57" s="95">
        <f t="shared" si="1"/>
        <v>0</v>
      </c>
    </row>
    <row r="58" spans="1:4" x14ac:dyDescent="0.2">
      <c r="A58" s="26" t="s">
        <v>135</v>
      </c>
      <c r="B58" s="19">
        <f>B57</f>
        <v>0</v>
      </c>
      <c r="C58" s="7"/>
      <c r="D58" s="95">
        <f t="shared" si="1"/>
        <v>0</v>
      </c>
    </row>
    <row r="59" spans="1:4" x14ac:dyDescent="0.2">
      <c r="A59" s="26" t="s">
        <v>202</v>
      </c>
      <c r="B59" s="100">
        <f>IF(B11=1,G81,IF(B13=1,G81,0))</f>
        <v>0</v>
      </c>
      <c r="C59" s="3"/>
      <c r="D59" s="95">
        <f t="shared" si="1"/>
        <v>0</v>
      </c>
    </row>
    <row r="60" spans="1:4" x14ac:dyDescent="0.2">
      <c r="A60" s="26" t="s">
        <v>43</v>
      </c>
      <c r="B60" s="100">
        <f>B54*2*B18+B55*2</f>
        <v>0</v>
      </c>
      <c r="C60" s="7"/>
      <c r="D60" s="95">
        <f t="shared" si="1"/>
        <v>0</v>
      </c>
    </row>
    <row r="61" spans="1:4" x14ac:dyDescent="0.2">
      <c r="A61" s="26" t="s">
        <v>44</v>
      </c>
      <c r="B61" s="100">
        <f>B55*2</f>
        <v>0</v>
      </c>
      <c r="C61" s="7"/>
      <c r="D61" s="95">
        <f t="shared" si="1"/>
        <v>0</v>
      </c>
    </row>
    <row r="62" spans="1:4" x14ac:dyDescent="0.2">
      <c r="A62" s="26" t="s">
        <v>45</v>
      </c>
      <c r="B62" s="19">
        <f>IF(B10=1,B46,0)</f>
        <v>0</v>
      </c>
      <c r="C62" s="7"/>
      <c r="D62" s="95">
        <f t="shared" si="1"/>
        <v>0</v>
      </c>
    </row>
    <row r="63" spans="1:4" ht="12" thickBot="1" x14ac:dyDescent="0.25">
      <c r="A63" s="27" t="s">
        <v>46</v>
      </c>
      <c r="B63" s="44">
        <f>IF(B14=1,G81+H81,0)</f>
        <v>0</v>
      </c>
      <c r="C63" s="11"/>
      <c r="D63" s="99">
        <f t="shared" si="1"/>
        <v>0</v>
      </c>
    </row>
    <row r="64" spans="1:4" ht="12" thickBot="1" x14ac:dyDescent="0.25">
      <c r="A64" s="162"/>
      <c r="B64" s="163"/>
      <c r="C64" s="163"/>
      <c r="D64" s="164"/>
    </row>
    <row r="65" spans="1:8" ht="12.75" x14ac:dyDescent="0.2">
      <c r="A65" s="159" t="s">
        <v>67</v>
      </c>
      <c r="B65" s="160"/>
      <c r="C65" s="160"/>
      <c r="D65" s="203"/>
    </row>
    <row r="66" spans="1:8" x14ac:dyDescent="0.2">
      <c r="A66" s="26" t="s">
        <v>50</v>
      </c>
      <c r="B66" s="19">
        <v>1</v>
      </c>
      <c r="C66" s="7"/>
      <c r="D66" s="95">
        <f>B66*C66</f>
        <v>0</v>
      </c>
    </row>
    <row r="67" spans="1:8" x14ac:dyDescent="0.2">
      <c r="A67" s="118" t="s">
        <v>272</v>
      </c>
      <c r="B67" s="54"/>
      <c r="C67" s="53"/>
      <c r="D67" s="101"/>
    </row>
    <row r="68" spans="1:8" x14ac:dyDescent="0.2">
      <c r="A68" s="118"/>
      <c r="B68" s="54"/>
      <c r="C68" s="53"/>
      <c r="D68" s="101"/>
    </row>
    <row r="69" spans="1:8" ht="12" thickBot="1" x14ac:dyDescent="0.25">
      <c r="A69" s="27" t="s">
        <v>51</v>
      </c>
      <c r="B69" s="44">
        <v>1</v>
      </c>
      <c r="C69" s="11"/>
      <c r="D69" s="99">
        <f>B69*C69</f>
        <v>0</v>
      </c>
    </row>
    <row r="70" spans="1:8" x14ac:dyDescent="0.2">
      <c r="C70" s="2" t="s">
        <v>7</v>
      </c>
      <c r="D70" s="2">
        <f>SUM(D21:D69)</f>
        <v>0</v>
      </c>
    </row>
    <row r="76" spans="1:8" ht="12" thickBot="1" x14ac:dyDescent="0.25">
      <c r="F76" s="213" t="s">
        <v>9</v>
      </c>
      <c r="G76" s="213"/>
      <c r="H76" s="213"/>
    </row>
    <row r="77" spans="1:8" x14ac:dyDescent="0.2">
      <c r="F77" s="210" t="s">
        <v>70</v>
      </c>
      <c r="G77" s="211"/>
      <c r="H77" s="212"/>
    </row>
    <row r="78" spans="1:8" x14ac:dyDescent="0.2">
      <c r="F78" s="39">
        <f>B17</f>
        <v>3</v>
      </c>
      <c r="G78" s="6">
        <f>F78*B7</f>
        <v>3</v>
      </c>
      <c r="H78" s="1">
        <v>0</v>
      </c>
    </row>
    <row r="79" spans="1:8" x14ac:dyDescent="0.2">
      <c r="F79" s="39">
        <f>B17*2</f>
        <v>6</v>
      </c>
      <c r="G79" s="6">
        <f>F79*B8</f>
        <v>6</v>
      </c>
      <c r="H79" s="1">
        <v>0</v>
      </c>
    </row>
    <row r="80" spans="1:8" ht="12" thickBot="1" x14ac:dyDescent="0.25">
      <c r="F80" s="40">
        <f>B17</f>
        <v>3</v>
      </c>
      <c r="G80" s="36" t="e">
        <f>F80*#REF!</f>
        <v>#REF!</v>
      </c>
      <c r="H80" s="41" t="e">
        <f>2*#REF!</f>
        <v>#REF!</v>
      </c>
    </row>
    <row r="81" spans="6:8" ht="12" thickBot="1" x14ac:dyDescent="0.25">
      <c r="F81" s="37">
        <f>SUM(F78:F80)</f>
        <v>12</v>
      </c>
      <c r="G81" s="38" t="e">
        <f>SUM(G78:G80)</f>
        <v>#REF!</v>
      </c>
      <c r="H81" s="38" t="e">
        <f>SUM(H78:H80)</f>
        <v>#REF!</v>
      </c>
    </row>
    <row r="82" spans="6:8" x14ac:dyDescent="0.2">
      <c r="F82" s="42" t="s">
        <v>66</v>
      </c>
      <c r="G82" s="42" t="s">
        <v>74</v>
      </c>
      <c r="H82" s="42" t="s">
        <v>69</v>
      </c>
    </row>
  </sheetData>
  <mergeCells count="25">
    <mergeCell ref="F77:H77"/>
    <mergeCell ref="C13:D13"/>
    <mergeCell ref="C14:D14"/>
    <mergeCell ref="A15:D15"/>
    <mergeCell ref="C17:D17"/>
    <mergeCell ref="C18:D18"/>
    <mergeCell ref="A19:D19"/>
    <mergeCell ref="A44:D44"/>
    <mergeCell ref="A45:D45"/>
    <mergeCell ref="A64:D64"/>
    <mergeCell ref="A65:D65"/>
    <mergeCell ref="F76:H76"/>
    <mergeCell ref="C7:D7"/>
    <mergeCell ref="C5:D5"/>
    <mergeCell ref="C16:D16"/>
    <mergeCell ref="A1:D1"/>
    <mergeCell ref="A2:D2"/>
    <mergeCell ref="C3:D3"/>
    <mergeCell ref="C4:D4"/>
    <mergeCell ref="C6:D6"/>
    <mergeCell ref="C8:D8"/>
    <mergeCell ref="A9:D9"/>
    <mergeCell ref="C10:D10"/>
    <mergeCell ref="C11:D11"/>
    <mergeCell ref="C12:D12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115" zoomScaleNormal="100"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65" t="s">
        <v>103</v>
      </c>
      <c r="B1" s="166"/>
      <c r="C1" s="166"/>
      <c r="D1" s="166"/>
    </row>
    <row r="2" spans="1:5" ht="15" thickBot="1" x14ac:dyDescent="0.25">
      <c r="A2" s="167" t="s">
        <v>2</v>
      </c>
      <c r="B2" s="168"/>
      <c r="C2" s="168"/>
      <c r="D2" s="169"/>
    </row>
    <row r="3" spans="1:5" x14ac:dyDescent="0.2">
      <c r="A3" s="136" t="s">
        <v>4</v>
      </c>
      <c r="B3" s="45">
        <v>1</v>
      </c>
      <c r="C3" s="190" t="s">
        <v>10</v>
      </c>
      <c r="D3" s="154"/>
    </row>
    <row r="4" spans="1:5" x14ac:dyDescent="0.2">
      <c r="A4" s="137" t="s">
        <v>1</v>
      </c>
      <c r="B4" s="23">
        <v>1</v>
      </c>
      <c r="C4" s="235" t="s">
        <v>10</v>
      </c>
      <c r="D4" s="184"/>
    </row>
    <row r="5" spans="1:5" x14ac:dyDescent="0.2">
      <c r="A5" s="126" t="s">
        <v>104</v>
      </c>
      <c r="B5" s="22">
        <v>1</v>
      </c>
      <c r="C5" s="221" t="s">
        <v>10</v>
      </c>
      <c r="D5" s="182"/>
    </row>
    <row r="6" spans="1:5" x14ac:dyDescent="0.2">
      <c r="A6" s="126" t="s">
        <v>105</v>
      </c>
      <c r="B6" s="28">
        <v>0</v>
      </c>
      <c r="C6" s="197" t="s">
        <v>10</v>
      </c>
      <c r="D6" s="178"/>
    </row>
    <row r="7" spans="1:5" ht="12" thickBot="1" x14ac:dyDescent="0.25">
      <c r="A7" s="127" t="s">
        <v>151</v>
      </c>
      <c r="B7" s="30">
        <v>0</v>
      </c>
      <c r="C7" s="201" t="s">
        <v>10</v>
      </c>
      <c r="D7" s="202"/>
    </row>
    <row r="8" spans="1:5" ht="12" thickBot="1" x14ac:dyDescent="0.25">
      <c r="A8" s="179" t="s">
        <v>14</v>
      </c>
      <c r="B8" s="179"/>
      <c r="C8" s="179"/>
      <c r="D8" s="179"/>
    </row>
    <row r="9" spans="1:5" x14ac:dyDescent="0.2">
      <c r="A9" s="125" t="s">
        <v>136</v>
      </c>
      <c r="B9" s="29">
        <v>1</v>
      </c>
      <c r="C9" s="180" t="s">
        <v>11</v>
      </c>
      <c r="D9" s="154"/>
    </row>
    <row r="10" spans="1:5" x14ac:dyDescent="0.2">
      <c r="A10" s="126" t="s">
        <v>31</v>
      </c>
      <c r="B10" s="28">
        <v>0</v>
      </c>
      <c r="C10" s="183" t="s">
        <v>11</v>
      </c>
      <c r="D10" s="184"/>
    </row>
    <row r="11" spans="1:5" x14ac:dyDescent="0.2">
      <c r="A11" s="126" t="s">
        <v>30</v>
      </c>
      <c r="B11" s="24">
        <v>0</v>
      </c>
      <c r="C11" s="181" t="s">
        <v>11</v>
      </c>
      <c r="D11" s="182"/>
    </row>
    <row r="12" spans="1:5" x14ac:dyDescent="0.2">
      <c r="A12" s="126" t="s">
        <v>28</v>
      </c>
      <c r="B12" s="28">
        <v>0</v>
      </c>
      <c r="C12" s="183" t="s">
        <v>11</v>
      </c>
      <c r="D12" s="184"/>
    </row>
    <row r="13" spans="1:5" ht="12" thickBot="1" x14ac:dyDescent="0.25">
      <c r="A13" s="127" t="s">
        <v>15</v>
      </c>
      <c r="B13" s="30">
        <v>0</v>
      </c>
      <c r="C13" s="151" t="s">
        <v>11</v>
      </c>
      <c r="D13" s="152"/>
    </row>
    <row r="14" spans="1:5" ht="12" thickBot="1" x14ac:dyDescent="0.25">
      <c r="A14" s="187"/>
      <c r="B14" s="188"/>
      <c r="C14" s="188"/>
      <c r="D14" s="189"/>
    </row>
    <row r="15" spans="1:5" x14ac:dyDescent="0.2">
      <c r="A15" s="32" t="s">
        <v>13</v>
      </c>
      <c r="B15" s="33">
        <f>CEILING((B3-0.1)/0.4,1)+1</f>
        <v>4</v>
      </c>
      <c r="C15" s="149" t="s">
        <v>9</v>
      </c>
      <c r="D15" s="150"/>
      <c r="E15" s="15"/>
    </row>
    <row r="16" spans="1:5" ht="12" thickBot="1" x14ac:dyDescent="0.25">
      <c r="A16" s="34" t="s">
        <v>59</v>
      </c>
      <c r="B16" s="35">
        <f>SUM(B5:B7)</f>
        <v>1</v>
      </c>
      <c r="C16" s="185" t="s">
        <v>9</v>
      </c>
      <c r="D16" s="186"/>
      <c r="E16" s="15"/>
    </row>
    <row r="17" spans="1:5" ht="12" thickBot="1" x14ac:dyDescent="0.25"/>
    <row r="18" spans="1:5" ht="12.75" x14ac:dyDescent="0.2">
      <c r="A18" s="8" t="s">
        <v>5</v>
      </c>
      <c r="B18" s="25" t="s">
        <v>0</v>
      </c>
      <c r="C18" s="9" t="s">
        <v>3</v>
      </c>
      <c r="D18" s="10" t="s">
        <v>6</v>
      </c>
    </row>
    <row r="19" spans="1:5" x14ac:dyDescent="0.2">
      <c r="A19" s="26" t="s">
        <v>16</v>
      </c>
      <c r="B19" s="19">
        <f>(B3-0.06)*B16</f>
        <v>0.94</v>
      </c>
      <c r="C19" s="7"/>
      <c r="D19" s="1">
        <f t="shared" ref="D19:D25" si="0">B19*C19</f>
        <v>0</v>
      </c>
    </row>
    <row r="20" spans="1:5" x14ac:dyDescent="0.2">
      <c r="A20" s="26" t="s">
        <v>18</v>
      </c>
      <c r="B20" s="19">
        <f>B5*B3*2+(B3+B4)*B6+B3*B7</f>
        <v>2</v>
      </c>
      <c r="C20" s="7"/>
      <c r="D20" s="12">
        <f t="shared" si="0"/>
        <v>0</v>
      </c>
    </row>
    <row r="21" spans="1:5" x14ac:dyDescent="0.2">
      <c r="A21" s="26" t="s">
        <v>87</v>
      </c>
      <c r="B21" s="19">
        <f>B5*B3*2+(B3+B4)*B6+B3*B7</f>
        <v>2</v>
      </c>
      <c r="C21" s="7"/>
      <c r="D21" s="12">
        <f t="shared" si="0"/>
        <v>0</v>
      </c>
    </row>
    <row r="22" spans="1:5" x14ac:dyDescent="0.2">
      <c r="A22" s="26" t="s">
        <v>19</v>
      </c>
      <c r="B22" s="19">
        <f>4*B16</f>
        <v>4</v>
      </c>
      <c r="C22" s="7"/>
      <c r="D22" s="12">
        <f t="shared" si="0"/>
        <v>0</v>
      </c>
    </row>
    <row r="23" spans="1:5" x14ac:dyDescent="0.2">
      <c r="A23" s="26" t="s">
        <v>21</v>
      </c>
      <c r="B23" s="19">
        <f>B15*2*B5</f>
        <v>8</v>
      </c>
      <c r="C23" s="7"/>
      <c r="D23" s="12">
        <f t="shared" si="0"/>
        <v>0</v>
      </c>
    </row>
    <row r="24" spans="1:5" x14ac:dyDescent="0.2">
      <c r="A24" s="20" t="s">
        <v>52</v>
      </c>
      <c r="B24" s="19">
        <f>(B3*2+B4*2)*B5</f>
        <v>4</v>
      </c>
      <c r="C24" s="7"/>
      <c r="D24" s="12">
        <f t="shared" si="0"/>
        <v>0</v>
      </c>
      <c r="E24" s="15"/>
    </row>
    <row r="25" spans="1:5" ht="12" thickBot="1" x14ac:dyDescent="0.25">
      <c r="A25" s="27" t="s">
        <v>27</v>
      </c>
      <c r="B25" s="44">
        <f>2*B7</f>
        <v>0</v>
      </c>
      <c r="C25" s="11"/>
      <c r="D25" s="13">
        <f t="shared" si="0"/>
        <v>0</v>
      </c>
    </row>
    <row r="26" spans="1:5" ht="12" thickBot="1" x14ac:dyDescent="0.25">
      <c r="A26" s="162"/>
      <c r="B26" s="163"/>
      <c r="C26" s="163"/>
      <c r="D26" s="164"/>
    </row>
    <row r="27" spans="1:5" ht="12.75" x14ac:dyDescent="0.2">
      <c r="A27" s="174" t="s">
        <v>14</v>
      </c>
      <c r="B27" s="175"/>
      <c r="C27" s="175"/>
      <c r="D27" s="176"/>
    </row>
    <row r="28" spans="1:5" x14ac:dyDescent="0.2">
      <c r="A28" s="26" t="s">
        <v>35</v>
      </c>
      <c r="B28" s="19">
        <f>IF(B10=1,(B15+2)*B16,0)</f>
        <v>0</v>
      </c>
      <c r="C28" s="7"/>
      <c r="D28" s="12">
        <f>B28*C28</f>
        <v>0</v>
      </c>
      <c r="E28" s="15"/>
    </row>
    <row r="29" spans="1:5" x14ac:dyDescent="0.2">
      <c r="A29" s="26" t="s">
        <v>36</v>
      </c>
      <c r="B29" s="19">
        <f>IF(B10=1,B15*B7*2+B15*B5,0)</f>
        <v>0</v>
      </c>
      <c r="C29" s="7"/>
      <c r="D29" s="12">
        <f>B42*C29</f>
        <v>0</v>
      </c>
    </row>
    <row r="30" spans="1:5" x14ac:dyDescent="0.2">
      <c r="A30" s="26" t="s">
        <v>37</v>
      </c>
      <c r="B30" s="19">
        <f>IF(B11=1,2*B5,0)</f>
        <v>0</v>
      </c>
      <c r="C30" s="7"/>
      <c r="D30" s="12">
        <f t="shared" ref="D30:D42" si="1">B30*C30</f>
        <v>0</v>
      </c>
    </row>
    <row r="31" spans="1:5" x14ac:dyDescent="0.2">
      <c r="A31" s="26" t="s">
        <v>38</v>
      </c>
      <c r="B31" s="19">
        <f>IF(B11=1,B15*B5+B15*B7*2,0)</f>
        <v>0</v>
      </c>
      <c r="C31" s="7"/>
      <c r="D31" s="12">
        <f t="shared" si="1"/>
        <v>0</v>
      </c>
    </row>
    <row r="32" spans="1:5" x14ac:dyDescent="0.2">
      <c r="A32" s="26" t="s">
        <v>39</v>
      </c>
      <c r="B32" s="19">
        <f>IF(B8=1,B11*2,0)</f>
        <v>0</v>
      </c>
      <c r="C32" s="7"/>
      <c r="D32" s="12">
        <f t="shared" si="1"/>
        <v>0</v>
      </c>
    </row>
    <row r="33" spans="1:4" x14ac:dyDescent="0.2">
      <c r="A33" s="26" t="s">
        <v>33</v>
      </c>
      <c r="B33" s="19">
        <f>B32</f>
        <v>0</v>
      </c>
      <c r="C33" s="7"/>
      <c r="D33" s="12">
        <f t="shared" si="1"/>
        <v>0</v>
      </c>
    </row>
    <row r="34" spans="1:4" x14ac:dyDescent="0.2">
      <c r="A34" s="26" t="s">
        <v>40</v>
      </c>
      <c r="B34" s="19">
        <f>IF(B9=1,B11*2,0)</f>
        <v>0</v>
      </c>
      <c r="C34" s="7"/>
      <c r="D34" s="12">
        <f t="shared" si="1"/>
        <v>0</v>
      </c>
    </row>
    <row r="35" spans="1:4" x14ac:dyDescent="0.2">
      <c r="A35" s="26" t="s">
        <v>41</v>
      </c>
      <c r="B35" s="19">
        <f>IF(B7=1,B11*2,B33)</f>
        <v>0</v>
      </c>
      <c r="C35" s="7"/>
      <c r="D35" s="12">
        <f t="shared" si="1"/>
        <v>0</v>
      </c>
    </row>
    <row r="36" spans="1:4" x14ac:dyDescent="0.2">
      <c r="A36" s="26" t="s">
        <v>32</v>
      </c>
      <c r="B36" s="19">
        <f>B32</f>
        <v>0</v>
      </c>
      <c r="C36" s="7"/>
      <c r="D36" s="12">
        <f t="shared" si="1"/>
        <v>0</v>
      </c>
    </row>
    <row r="37" spans="1:4" x14ac:dyDescent="0.2">
      <c r="A37" s="26" t="s">
        <v>198</v>
      </c>
      <c r="B37" s="19">
        <f>INT(B3*2+2)</f>
        <v>4</v>
      </c>
      <c r="C37" s="7"/>
      <c r="D37" s="12">
        <f t="shared" si="1"/>
        <v>0</v>
      </c>
    </row>
    <row r="38" spans="1:4" x14ac:dyDescent="0.2">
      <c r="A38" s="26" t="s">
        <v>199</v>
      </c>
      <c r="B38" s="19">
        <f>B37</f>
        <v>4</v>
      </c>
      <c r="C38" s="7"/>
      <c r="D38" s="12">
        <f t="shared" si="1"/>
        <v>0</v>
      </c>
    </row>
    <row r="39" spans="1:4" x14ac:dyDescent="0.2">
      <c r="A39" s="26" t="s">
        <v>202</v>
      </c>
      <c r="B39" s="6">
        <f>IF(B10=1,B15*B7*2+B15*B5,IF(B12=1,B15*B7*2+B15*B5,0))</f>
        <v>0</v>
      </c>
      <c r="C39" s="3"/>
      <c r="D39" s="12">
        <f t="shared" si="1"/>
        <v>0</v>
      </c>
    </row>
    <row r="40" spans="1:4" x14ac:dyDescent="0.2">
      <c r="A40" s="26" t="s">
        <v>43</v>
      </c>
      <c r="B40" s="6">
        <f>B34*2*B7</f>
        <v>0</v>
      </c>
      <c r="C40" s="7"/>
      <c r="D40" s="12">
        <f t="shared" si="1"/>
        <v>0</v>
      </c>
    </row>
    <row r="41" spans="1:4" x14ac:dyDescent="0.2">
      <c r="A41" s="26" t="s">
        <v>44</v>
      </c>
      <c r="B41" s="6">
        <f>B35*2*B7</f>
        <v>0</v>
      </c>
      <c r="C41" s="7"/>
      <c r="D41" s="12">
        <f t="shared" si="1"/>
        <v>0</v>
      </c>
    </row>
    <row r="42" spans="1:4" ht="12" thickBot="1" x14ac:dyDescent="0.25">
      <c r="A42" s="27" t="s">
        <v>46</v>
      </c>
      <c r="B42" s="44">
        <f>IF(B13=1,B15*B7*2+B15*B5,0)</f>
        <v>0</v>
      </c>
      <c r="C42" s="11"/>
      <c r="D42" s="13">
        <f t="shared" si="1"/>
        <v>0</v>
      </c>
    </row>
  </sheetData>
  <mergeCells count="18">
    <mergeCell ref="A26:D26"/>
    <mergeCell ref="A27:D27"/>
    <mergeCell ref="C15:D15"/>
    <mergeCell ref="C16:D16"/>
    <mergeCell ref="A14:D14"/>
    <mergeCell ref="A1:D1"/>
    <mergeCell ref="A2:D2"/>
    <mergeCell ref="C3:D3"/>
    <mergeCell ref="C4:D4"/>
    <mergeCell ref="C5:D5"/>
    <mergeCell ref="C6:D6"/>
    <mergeCell ref="C12:D12"/>
    <mergeCell ref="C13:D13"/>
    <mergeCell ref="C7:D7"/>
    <mergeCell ref="C10:D10"/>
    <mergeCell ref="A8:D8"/>
    <mergeCell ref="C9:D9"/>
    <mergeCell ref="C11:D1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8" baseType="lpstr">
      <vt:lpstr>P160x</vt:lpstr>
      <vt:lpstr>P161x</vt:lpstr>
      <vt:lpstr>Р461х</vt:lpstr>
      <vt:lpstr>P162x</vt:lpstr>
      <vt:lpstr>P170x</vt:lpstr>
      <vt:lpstr>P171x</vt:lpstr>
      <vt:lpstr>P172x</vt:lpstr>
      <vt:lpstr>P175х</vt:lpstr>
      <vt:lpstr>P10xx</vt:lpstr>
      <vt:lpstr>P260x</vt:lpstr>
      <vt:lpstr>P261x</vt:lpstr>
      <vt:lpstr>P262x</vt:lpstr>
      <vt:lpstr>P3600</vt:lpstr>
      <vt:lpstr>P3700</vt:lpstr>
      <vt:lpstr>P18xx</vt:lpstr>
      <vt:lpstr>P19xx</vt:lpstr>
      <vt:lpstr>P390x</vt:lpstr>
      <vt:lpstr>P870x</vt:lpstr>
      <vt:lpstr>P871x</vt:lpstr>
      <vt:lpstr>Р872х</vt:lpstr>
      <vt:lpstr>P880x</vt:lpstr>
      <vt:lpstr>P881x</vt:lpstr>
      <vt:lpstr>P10xx!Область_печати</vt:lpstr>
      <vt:lpstr>P160x!Область_печати</vt:lpstr>
      <vt:lpstr>P161x!Область_печати</vt:lpstr>
      <vt:lpstr>P162x!Область_печати</vt:lpstr>
      <vt:lpstr>P170x!Область_печати</vt:lpstr>
      <vt:lpstr>P171x!Область_печати</vt:lpstr>
      <vt:lpstr>P172x!Область_печати</vt:lpstr>
      <vt:lpstr>P175х!Область_печати</vt:lpstr>
      <vt:lpstr>P18xx!Область_печати</vt:lpstr>
      <vt:lpstr>P19xx!Область_печати</vt:lpstr>
      <vt:lpstr>P260x!Область_печати</vt:lpstr>
      <vt:lpstr>P261x!Область_печати</vt:lpstr>
      <vt:lpstr>P262x!Область_печати</vt:lpstr>
      <vt:lpstr>'P3600'!Область_печати</vt:lpstr>
      <vt:lpstr>'P3700'!Область_печати</vt:lpstr>
      <vt:lpstr>P390x!Область_печати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Суворов</dc:creator>
  <cp:lastModifiedBy>Сергей Голубев</cp:lastModifiedBy>
  <cp:lastPrinted>2010-05-27T10:09:10Z</cp:lastPrinted>
  <dcterms:created xsi:type="dcterms:W3CDTF">2005-05-23T08:47:17Z</dcterms:created>
  <dcterms:modified xsi:type="dcterms:W3CDTF">2022-10-03T08:07:04Z</dcterms:modified>
</cp:coreProperties>
</file>